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315" windowWidth="12285" windowHeight="5625" tabRatio="736" firstSheet="1" activeTab="9"/>
  </bookViews>
  <sheets>
    <sheet name="Information" sheetId="20" r:id="rId1"/>
    <sheet name="Products" sheetId="4" r:id="rId2"/>
    <sheet name="Lead Source Expense" sheetId="6" r:id="rId3"/>
    <sheet name="Process" sheetId="5" r:id="rId4"/>
    <sheet name="Status" sheetId="18" r:id="rId5"/>
    <sheet name="Transactions" sheetId="7" r:id="rId6"/>
    <sheet name="Basic Results" sheetId="19" r:id="rId7"/>
    <sheet name="Sales Analysis" sheetId="8" r:id="rId8"/>
    <sheet name="Pipeline" sheetId="12" r:id="rId9"/>
    <sheet name="Lead Source Profit Analysis" sheetId="15" r:id="rId10"/>
  </sheets>
  <definedNames>
    <definedName name="LeadSourceCostQ1">'Lead Source Expense'!$C$2:$C$5</definedName>
    <definedName name="LeadSourceCostQ2">'Lead Source Expense'!$D$2:$D$5</definedName>
    <definedName name="LeadSourceCostQ3">'Lead Source Expense'!$E$2:$E$5</definedName>
    <definedName name="LeadSourceCostQ4">'Lead Source Expense'!$F$2:$F$5</definedName>
    <definedName name="LeadSourceID">'Lead Source Expense'!$A$2:$A$5</definedName>
    <definedName name="LeadSourceStageTable">Process!$B$2:$C$7</definedName>
    <definedName name="LeadSourceTable">'Lead Source Expense'!$B$2:$F$5</definedName>
    <definedName name="LeadSourceType">'Lead Source Expense'!$B$2:$B$5</definedName>
    <definedName name="_xlnm.Print_Area" localSheetId="7">'Sales Analysis'!$A$1:$J$23</definedName>
    <definedName name="ProcessStageID">Process!$A$2:$A$7</definedName>
    <definedName name="ProcessStageName">Process!$B$2:$B$7</definedName>
    <definedName name="ProcessStageProb">Process!$C$2:$C$7</definedName>
    <definedName name="ProductCommRate">Products!$E$2:$E$5</definedName>
    <definedName name="ProductPrice">Products!$C$2:$C$5</definedName>
    <definedName name="ProductProdID">Products!$A$2:$A$5</definedName>
    <definedName name="ProductProdName">Products!$B$2:$B$5</definedName>
    <definedName name="ProductUnitCost">Products!$D$2:$D$5</definedName>
    <definedName name="StatusLose">Status!$B$4</definedName>
    <definedName name="StatusOpen">Status!$B$2</definedName>
    <definedName name="StatusStatus">Status!$B$2:$B$4</definedName>
    <definedName name="StatusStatusID">Status!$A$2:$A$4</definedName>
    <definedName name="StatusWin">Status!$B$3</definedName>
    <definedName name="TransactionsAllocatedLeadCost">Transactions!$P$2:$P$203</definedName>
    <definedName name="TransactionsCGS">Transactions!$N$2:$N$203</definedName>
    <definedName name="TransactionsComm">Transactions!$M$2:$M$203</definedName>
    <definedName name="TransactionsCustID">Transactions!$A$2:$A$203</definedName>
    <definedName name="TransactionsForecastedNetProfit">Transactions!$Q$2:$Q$203</definedName>
    <definedName name="TransactionsForecastedProfit">Transactions!$O$2:$O$203</definedName>
    <definedName name="TransactionsLeadSource">Transactions!$C$2:$C$203</definedName>
    <definedName name="TransactionsNumCalls">Transactions!$E$2:$E$203</definedName>
    <definedName name="TransactionsProdID">Transactions!$G$2:$G$203</definedName>
    <definedName name="TransactionsProductName">Transactions!$H$2:$H$203</definedName>
    <definedName name="TransactionsQuarter">Transactions!$B$2:$B$203</definedName>
    <definedName name="TransactionsSalesDataTable">Transactions!$A$1:$Q$203</definedName>
    <definedName name="TransactionsStage">Transactions!$D$2:$D$203</definedName>
    <definedName name="TransactionsStatus">Transactions!$F$2:$F$203</definedName>
    <definedName name="TransactionsTotSale">Transactions!$L$2:$L$203</definedName>
    <definedName name="TransactionsUnits">Transactions!$J$2:$J$203</definedName>
  </definedNames>
  <calcPr calcId="125725"/>
</workbook>
</file>

<file path=xl/calcChain.xml><?xml version="1.0" encoding="utf-8"?>
<calcChain xmlns="http://schemas.openxmlformats.org/spreadsheetml/2006/main">
  <c r="A24" i="12"/>
  <c r="B24" s="1"/>
  <c r="G23"/>
  <c r="F23"/>
  <c r="D23"/>
  <c r="C23"/>
  <c r="B23"/>
  <c r="A23"/>
  <c r="E23" s="1"/>
  <c r="D22"/>
  <c r="A22"/>
  <c r="C22" s="1"/>
  <c r="A21"/>
  <c r="B21" s="1"/>
  <c r="F14" i="19"/>
  <c r="E14"/>
  <c r="D14"/>
  <c r="C14"/>
  <c r="F13"/>
  <c r="E13"/>
  <c r="D13"/>
  <c r="C13"/>
  <c r="C15" l="1"/>
  <c r="H13"/>
  <c r="D21" i="12"/>
  <c r="C21"/>
  <c r="C24"/>
  <c r="H24" s="1"/>
  <c r="G24"/>
  <c r="F24"/>
  <c r="E24"/>
  <c r="D24"/>
  <c r="F15" i="19"/>
  <c r="H23" i="12"/>
  <c r="D15" i="19"/>
  <c r="E22" i="12"/>
  <c r="E21"/>
  <c r="F22"/>
  <c r="F21"/>
  <c r="F25" s="1"/>
  <c r="G22"/>
  <c r="G21"/>
  <c r="B22"/>
  <c r="D25"/>
  <c r="C25"/>
  <c r="E15" i="19"/>
  <c r="H15" s="1"/>
  <c r="G13"/>
  <c r="G14"/>
  <c r="H14"/>
  <c r="G25" i="12" l="1"/>
  <c r="H21"/>
  <c r="H22"/>
  <c r="E25"/>
  <c r="B25"/>
  <c r="G15" i="19"/>
  <c r="H25" i="12" l="1"/>
  <c r="K3" i="7"/>
  <c r="N3" s="1"/>
  <c r="K4"/>
  <c r="N4" s="1"/>
  <c r="K5"/>
  <c r="N5" s="1"/>
  <c r="K6"/>
  <c r="N6" s="1"/>
  <c r="K7"/>
  <c r="N7" s="1"/>
  <c r="K8"/>
  <c r="N8" s="1"/>
  <c r="K9"/>
  <c r="N9" s="1"/>
  <c r="K10"/>
  <c r="N10" s="1"/>
  <c r="K11"/>
  <c r="N11" s="1"/>
  <c r="K12"/>
  <c r="N12" s="1"/>
  <c r="K13"/>
  <c r="N13" s="1"/>
  <c r="K14"/>
  <c r="N14" s="1"/>
  <c r="K15"/>
  <c r="N15" s="1"/>
  <c r="K16"/>
  <c r="N16" s="1"/>
  <c r="K17"/>
  <c r="N17" s="1"/>
  <c r="K18"/>
  <c r="N18" s="1"/>
  <c r="K19"/>
  <c r="N19" s="1"/>
  <c r="K20"/>
  <c r="N20" s="1"/>
  <c r="K21"/>
  <c r="N21" s="1"/>
  <c r="K22"/>
  <c r="N22" s="1"/>
  <c r="K23"/>
  <c r="N23" s="1"/>
  <c r="K24"/>
  <c r="N24" s="1"/>
  <c r="K25"/>
  <c r="N25" s="1"/>
  <c r="K26"/>
  <c r="N26" s="1"/>
  <c r="K27"/>
  <c r="N27" s="1"/>
  <c r="K28"/>
  <c r="N28" s="1"/>
  <c r="K29"/>
  <c r="N29" s="1"/>
  <c r="K30"/>
  <c r="N30" s="1"/>
  <c r="K31"/>
  <c r="N31" s="1"/>
  <c r="K32"/>
  <c r="N32" s="1"/>
  <c r="K33"/>
  <c r="N33" s="1"/>
  <c r="K34"/>
  <c r="N34" s="1"/>
  <c r="K35"/>
  <c r="N35" s="1"/>
  <c r="K36"/>
  <c r="N36" s="1"/>
  <c r="K37"/>
  <c r="N37" s="1"/>
  <c r="K38"/>
  <c r="N38" s="1"/>
  <c r="K39"/>
  <c r="N39" s="1"/>
  <c r="K40"/>
  <c r="N40" s="1"/>
  <c r="K41"/>
  <c r="N41" s="1"/>
  <c r="K42"/>
  <c r="N42" s="1"/>
  <c r="K43"/>
  <c r="N43" s="1"/>
  <c r="K44"/>
  <c r="N44" s="1"/>
  <c r="K45"/>
  <c r="N45" s="1"/>
  <c r="K46"/>
  <c r="N46" s="1"/>
  <c r="K47"/>
  <c r="N47" s="1"/>
  <c r="K48"/>
  <c r="N48" s="1"/>
  <c r="K49"/>
  <c r="N49" s="1"/>
  <c r="K50"/>
  <c r="N50" s="1"/>
  <c r="K51"/>
  <c r="N51" s="1"/>
  <c r="K52"/>
  <c r="N52" s="1"/>
  <c r="K53"/>
  <c r="N53" s="1"/>
  <c r="K54"/>
  <c r="N54" s="1"/>
  <c r="K55"/>
  <c r="N55" s="1"/>
  <c r="K56"/>
  <c r="N56" s="1"/>
  <c r="K57"/>
  <c r="N57" s="1"/>
  <c r="K58"/>
  <c r="N58" s="1"/>
  <c r="K59"/>
  <c r="N59" s="1"/>
  <c r="K60"/>
  <c r="N60" s="1"/>
  <c r="K61"/>
  <c r="N61" s="1"/>
  <c r="K62"/>
  <c r="N62" s="1"/>
  <c r="K63"/>
  <c r="N63" s="1"/>
  <c r="K64"/>
  <c r="N64" s="1"/>
  <c r="K65"/>
  <c r="N65" s="1"/>
  <c r="K66"/>
  <c r="N66" s="1"/>
  <c r="K67"/>
  <c r="N67" s="1"/>
  <c r="K68"/>
  <c r="N68" s="1"/>
  <c r="K69"/>
  <c r="N69" s="1"/>
  <c r="K70"/>
  <c r="N70" s="1"/>
  <c r="K71"/>
  <c r="N71" s="1"/>
  <c r="K72"/>
  <c r="N72" s="1"/>
  <c r="K73"/>
  <c r="N73" s="1"/>
  <c r="K74"/>
  <c r="N74" s="1"/>
  <c r="K75"/>
  <c r="N75" s="1"/>
  <c r="K76"/>
  <c r="N76" s="1"/>
  <c r="K77"/>
  <c r="N77" s="1"/>
  <c r="K78"/>
  <c r="N78" s="1"/>
  <c r="K79"/>
  <c r="N79" s="1"/>
  <c r="K80"/>
  <c r="N80" s="1"/>
  <c r="K81"/>
  <c r="N81" s="1"/>
  <c r="K82"/>
  <c r="N82" s="1"/>
  <c r="K83"/>
  <c r="N83" s="1"/>
  <c r="K84"/>
  <c r="N84" s="1"/>
  <c r="K85"/>
  <c r="N85" s="1"/>
  <c r="K86"/>
  <c r="N86" s="1"/>
  <c r="K87"/>
  <c r="N87" s="1"/>
  <c r="K88"/>
  <c r="N88" s="1"/>
  <c r="K89"/>
  <c r="N89" s="1"/>
  <c r="K90"/>
  <c r="N90" s="1"/>
  <c r="K91"/>
  <c r="N91" s="1"/>
  <c r="K92"/>
  <c r="N92" s="1"/>
  <c r="K93"/>
  <c r="N93" s="1"/>
  <c r="K94"/>
  <c r="N94" s="1"/>
  <c r="K95"/>
  <c r="N95" s="1"/>
  <c r="K96"/>
  <c r="N96" s="1"/>
  <c r="K97"/>
  <c r="N97" s="1"/>
  <c r="K98"/>
  <c r="N98" s="1"/>
  <c r="K99"/>
  <c r="N99" s="1"/>
  <c r="K100"/>
  <c r="N100" s="1"/>
  <c r="K101"/>
  <c r="N101" s="1"/>
  <c r="K102"/>
  <c r="N102" s="1"/>
  <c r="K103"/>
  <c r="N103" s="1"/>
  <c r="K104"/>
  <c r="N104" s="1"/>
  <c r="K105"/>
  <c r="N105" s="1"/>
  <c r="K106"/>
  <c r="N106" s="1"/>
  <c r="K107"/>
  <c r="N107" s="1"/>
  <c r="K108"/>
  <c r="N108" s="1"/>
  <c r="K109"/>
  <c r="N109" s="1"/>
  <c r="K110"/>
  <c r="N110" s="1"/>
  <c r="K111"/>
  <c r="N111" s="1"/>
  <c r="K112"/>
  <c r="N112" s="1"/>
  <c r="K113"/>
  <c r="N113" s="1"/>
  <c r="K114"/>
  <c r="N114" s="1"/>
  <c r="K115"/>
  <c r="N115" s="1"/>
  <c r="K116"/>
  <c r="N116" s="1"/>
  <c r="K117"/>
  <c r="N117" s="1"/>
  <c r="K118"/>
  <c r="N118" s="1"/>
  <c r="K119"/>
  <c r="N119" s="1"/>
  <c r="K120"/>
  <c r="N120" s="1"/>
  <c r="K121"/>
  <c r="N121" s="1"/>
  <c r="K122"/>
  <c r="N122" s="1"/>
  <c r="K123"/>
  <c r="N123" s="1"/>
  <c r="K124"/>
  <c r="N124" s="1"/>
  <c r="K125"/>
  <c r="N125" s="1"/>
  <c r="K126"/>
  <c r="N126" s="1"/>
  <c r="K127"/>
  <c r="N127" s="1"/>
  <c r="K128"/>
  <c r="N128" s="1"/>
  <c r="K129"/>
  <c r="N129" s="1"/>
  <c r="K130"/>
  <c r="N130" s="1"/>
  <c r="K131"/>
  <c r="N131" s="1"/>
  <c r="K132"/>
  <c r="N132" s="1"/>
  <c r="K133"/>
  <c r="N133" s="1"/>
  <c r="K134"/>
  <c r="N134" s="1"/>
  <c r="K135"/>
  <c r="N135" s="1"/>
  <c r="K136"/>
  <c r="N136" s="1"/>
  <c r="K137"/>
  <c r="N137" s="1"/>
  <c r="K138"/>
  <c r="N138" s="1"/>
  <c r="K139"/>
  <c r="N139" s="1"/>
  <c r="K140"/>
  <c r="N140" s="1"/>
  <c r="K141"/>
  <c r="N141" s="1"/>
  <c r="K142"/>
  <c r="N142" s="1"/>
  <c r="K143"/>
  <c r="N143" s="1"/>
  <c r="K144"/>
  <c r="N144" s="1"/>
  <c r="K145"/>
  <c r="N145" s="1"/>
  <c r="K146"/>
  <c r="N146" s="1"/>
  <c r="K147"/>
  <c r="N147" s="1"/>
  <c r="K148"/>
  <c r="N148" s="1"/>
  <c r="K149"/>
  <c r="N149" s="1"/>
  <c r="K150"/>
  <c r="N150" s="1"/>
  <c r="K151"/>
  <c r="N151" s="1"/>
  <c r="K152"/>
  <c r="N152" s="1"/>
  <c r="K153"/>
  <c r="N153" s="1"/>
  <c r="K154"/>
  <c r="N154" s="1"/>
  <c r="K155"/>
  <c r="N155" s="1"/>
  <c r="K156"/>
  <c r="N156" s="1"/>
  <c r="K157"/>
  <c r="N157" s="1"/>
  <c r="K158"/>
  <c r="N158" s="1"/>
  <c r="K159"/>
  <c r="N159" s="1"/>
  <c r="K160"/>
  <c r="N160" s="1"/>
  <c r="K161"/>
  <c r="N161" s="1"/>
  <c r="K162"/>
  <c r="N162" s="1"/>
  <c r="K163"/>
  <c r="N163" s="1"/>
  <c r="K164"/>
  <c r="N164" s="1"/>
  <c r="K165"/>
  <c r="N165" s="1"/>
  <c r="K166"/>
  <c r="N166" s="1"/>
  <c r="K167"/>
  <c r="N167" s="1"/>
  <c r="K168"/>
  <c r="N168" s="1"/>
  <c r="K169"/>
  <c r="N169" s="1"/>
  <c r="K170"/>
  <c r="N170" s="1"/>
  <c r="K171"/>
  <c r="N171" s="1"/>
  <c r="K172"/>
  <c r="N172" s="1"/>
  <c r="K173"/>
  <c r="N173" s="1"/>
  <c r="K174"/>
  <c r="N174" s="1"/>
  <c r="K175"/>
  <c r="N175" s="1"/>
  <c r="K176"/>
  <c r="N176" s="1"/>
  <c r="K177"/>
  <c r="N177" s="1"/>
  <c r="K178"/>
  <c r="N178" s="1"/>
  <c r="K179"/>
  <c r="N179" s="1"/>
  <c r="K180"/>
  <c r="N180" s="1"/>
  <c r="K181"/>
  <c r="N181" s="1"/>
  <c r="K182"/>
  <c r="N182" s="1"/>
  <c r="K183"/>
  <c r="N183" s="1"/>
  <c r="K184"/>
  <c r="N184" s="1"/>
  <c r="K185"/>
  <c r="N185" s="1"/>
  <c r="K186"/>
  <c r="N186" s="1"/>
  <c r="K187"/>
  <c r="N187" s="1"/>
  <c r="K188"/>
  <c r="N188" s="1"/>
  <c r="K189"/>
  <c r="N189" s="1"/>
  <c r="K190"/>
  <c r="N190" s="1"/>
  <c r="K191"/>
  <c r="N191" s="1"/>
  <c r="K192"/>
  <c r="N192" s="1"/>
  <c r="K193"/>
  <c r="N193" s="1"/>
  <c r="K194"/>
  <c r="N194" s="1"/>
  <c r="K195"/>
  <c r="N195" s="1"/>
  <c r="K196"/>
  <c r="N196" s="1"/>
  <c r="K197"/>
  <c r="N197" s="1"/>
  <c r="K198"/>
  <c r="N198" s="1"/>
  <c r="K199"/>
  <c r="N199" s="1"/>
  <c r="K200"/>
  <c r="N200" s="1"/>
  <c r="K201"/>
  <c r="N201" s="1"/>
  <c r="K202"/>
  <c r="N202" s="1"/>
  <c r="K203"/>
  <c r="N203" s="1"/>
  <c r="K2"/>
  <c r="N2" s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"/>
  <c r="P34" l="1"/>
  <c r="P47"/>
  <c r="P74"/>
  <c r="P76"/>
  <c r="P98"/>
  <c r="P185"/>
  <c r="P10"/>
  <c r="P79"/>
  <c r="P101"/>
  <c r="P149"/>
  <c r="P152"/>
  <c r="P164"/>
  <c r="P155"/>
  <c r="P199"/>
  <c r="P12"/>
  <c r="P14"/>
  <c r="P54"/>
  <c r="P58"/>
  <c r="P63"/>
  <c r="P80"/>
  <c r="P89"/>
  <c r="P106"/>
  <c r="P107"/>
  <c r="P112"/>
  <c r="P116"/>
  <c r="P119"/>
  <c r="P143"/>
  <c r="P165"/>
  <c r="P23"/>
  <c r="P29"/>
  <c r="P32"/>
  <c r="P37"/>
  <c r="P42"/>
  <c r="P44"/>
  <c r="P66"/>
  <c r="P81"/>
  <c r="P91"/>
  <c r="P130"/>
  <c r="P109"/>
  <c r="P146"/>
  <c r="P163"/>
  <c r="P188"/>
  <c r="P194"/>
  <c r="P203"/>
  <c r="P28"/>
  <c r="P36"/>
  <c r="P184"/>
  <c r="P120"/>
  <c r="P60"/>
  <c r="P9"/>
  <c r="P69"/>
  <c r="P72"/>
  <c r="P93"/>
  <c r="P95"/>
  <c r="P110"/>
  <c r="P156"/>
  <c r="P30"/>
  <c r="P50"/>
  <c r="P53"/>
  <c r="P92"/>
  <c r="P133"/>
  <c r="P147"/>
  <c r="P38"/>
  <c r="P174"/>
  <c r="P177"/>
  <c r="P180"/>
  <c r="P153"/>
  <c r="P2"/>
  <c r="P19"/>
  <c r="P200"/>
  <c r="P45"/>
  <c r="P52"/>
  <c r="P67"/>
  <c r="P24"/>
  <c r="P104"/>
  <c r="P105"/>
  <c r="P113"/>
  <c r="P115"/>
  <c r="P78"/>
  <c r="P142"/>
  <c r="P13"/>
  <c r="P48"/>
  <c r="P65"/>
  <c r="P134"/>
  <c r="P135"/>
  <c r="P148"/>
  <c r="P187"/>
  <c r="P166"/>
  <c r="P167"/>
  <c r="P201"/>
  <c r="P40"/>
  <c r="P82"/>
  <c r="P56"/>
  <c r="P138"/>
  <c r="P141"/>
  <c r="P102"/>
  <c r="P192"/>
  <c r="P193"/>
  <c r="P196"/>
  <c r="P145"/>
  <c r="P136"/>
  <c r="P70"/>
  <c r="P150"/>
  <c r="P62"/>
  <c r="P140"/>
  <c r="P197"/>
  <c r="P175"/>
  <c r="P178"/>
  <c r="P22"/>
  <c r="P189"/>
  <c r="P157"/>
  <c r="P181"/>
  <c r="P57"/>
  <c r="P5"/>
  <c r="P3"/>
  <c r="P17"/>
  <c r="P158"/>
  <c r="P132"/>
  <c r="P85"/>
  <c r="P94"/>
  <c r="P59"/>
  <c r="P108"/>
  <c r="P26"/>
  <c r="P15"/>
  <c r="P114"/>
  <c r="P191"/>
  <c r="P118"/>
  <c r="P176"/>
  <c r="P125"/>
  <c r="P77"/>
  <c r="P186"/>
  <c r="P128"/>
  <c r="P103"/>
  <c r="P43"/>
  <c r="P39"/>
  <c r="P121"/>
  <c r="P83"/>
  <c r="P160"/>
  <c r="P97"/>
  <c r="P161"/>
  <c r="P168"/>
  <c r="P51"/>
  <c r="P7"/>
  <c r="P41"/>
  <c r="P73"/>
  <c r="P20"/>
  <c r="P124"/>
  <c r="P33"/>
  <c r="P88"/>
  <c r="P46"/>
  <c r="P122"/>
  <c r="P25"/>
  <c r="P154"/>
  <c r="P195"/>
  <c r="P64"/>
  <c r="P96"/>
  <c r="P90"/>
  <c r="P173"/>
  <c r="P144"/>
  <c r="P71"/>
  <c r="P61"/>
  <c r="P87"/>
  <c r="P190"/>
  <c r="P27"/>
  <c r="P183"/>
  <c r="P16"/>
  <c r="P84"/>
  <c r="P162"/>
  <c r="P99"/>
  <c r="P55"/>
  <c r="P179"/>
  <c r="P126"/>
  <c r="P31"/>
  <c r="P129"/>
  <c r="P4"/>
  <c r="P35"/>
  <c r="P137"/>
  <c r="P21"/>
  <c r="P139"/>
  <c r="P170"/>
  <c r="P6"/>
  <c r="P49"/>
  <c r="P202"/>
  <c r="P18"/>
  <c r="P68"/>
  <c r="P75"/>
  <c r="P8"/>
  <c r="P86"/>
  <c r="P100"/>
  <c r="P123"/>
  <c r="P151"/>
  <c r="P127"/>
  <c r="P169"/>
  <c r="P159"/>
  <c r="P171"/>
  <c r="P131"/>
  <c r="P117"/>
  <c r="P111"/>
  <c r="P172"/>
  <c r="P182"/>
  <c r="P198"/>
  <c r="P11"/>
  <c r="E30" i="15" l="1"/>
  <c r="D28"/>
  <c r="B28"/>
  <c r="D29"/>
  <c r="C27"/>
  <c r="E28"/>
  <c r="C28"/>
  <c r="F28" s="1"/>
  <c r="B27"/>
  <c r="E27"/>
  <c r="B30"/>
  <c r="D27"/>
  <c r="B29"/>
  <c r="E29"/>
  <c r="C29"/>
  <c r="D30"/>
  <c r="D31" s="1"/>
  <c r="C30"/>
  <c r="F29"/>
  <c r="H203" i="7"/>
  <c r="H163"/>
  <c r="H195"/>
  <c r="H98"/>
  <c r="H97"/>
  <c r="H2"/>
  <c r="H180"/>
  <c r="H164"/>
  <c r="H127"/>
  <c r="H14"/>
  <c r="H139"/>
  <c r="H120"/>
  <c r="H157"/>
  <c r="H99"/>
  <c r="H6"/>
  <c r="H115"/>
  <c r="H161"/>
  <c r="H201"/>
  <c r="H50"/>
  <c r="H100"/>
  <c r="H192"/>
  <c r="H184"/>
  <c r="H152"/>
  <c r="H156"/>
  <c r="H160"/>
  <c r="H41"/>
  <c r="H109"/>
  <c r="E31" i="15" l="1"/>
  <c r="B31"/>
  <c r="F30"/>
  <c r="F27"/>
  <c r="C31"/>
  <c r="L100" i="7"/>
  <c r="M100" s="1"/>
  <c r="L120"/>
  <c r="M120" s="1"/>
  <c r="L184"/>
  <c r="M184" s="1"/>
  <c r="L99"/>
  <c r="M99" s="1"/>
  <c r="L2"/>
  <c r="L201"/>
  <c r="M201" s="1"/>
  <c r="L14"/>
  <c r="M14" s="1"/>
  <c r="L203"/>
  <c r="M203" s="1"/>
  <c r="L156"/>
  <c r="M156" s="1"/>
  <c r="L115"/>
  <c r="M115" s="1"/>
  <c r="L163"/>
  <c r="M163" s="1"/>
  <c r="L164"/>
  <c r="M164" s="1"/>
  <c r="L195"/>
  <c r="M195" s="1"/>
  <c r="L97"/>
  <c r="M97" s="1"/>
  <c r="L161"/>
  <c r="M161" s="1"/>
  <c r="L6"/>
  <c r="M6" s="1"/>
  <c r="L98"/>
  <c r="M98" s="1"/>
  <c r="L180"/>
  <c r="M180" s="1"/>
  <c r="L127"/>
  <c r="M127" s="1"/>
  <c r="L160"/>
  <c r="M160" s="1"/>
  <c r="L152"/>
  <c r="M152" s="1"/>
  <c r="L192"/>
  <c r="M192" s="1"/>
  <c r="L50"/>
  <c r="M50" s="1"/>
  <c r="L157"/>
  <c r="M157" s="1"/>
  <c r="L139"/>
  <c r="M139" s="1"/>
  <c r="F31" i="15" l="1"/>
  <c r="M2" i="7"/>
  <c r="O2" s="1"/>
  <c r="O163"/>
  <c r="Q127"/>
  <c r="Q195"/>
  <c r="O164"/>
  <c r="Q139"/>
  <c r="Q163"/>
  <c r="Q99"/>
  <c r="O157"/>
  <c r="O180"/>
  <c r="Q115"/>
  <c r="Q184"/>
  <c r="O50"/>
  <c r="O98"/>
  <c r="Q156"/>
  <c r="O120"/>
  <c r="Q192"/>
  <c r="O6"/>
  <c r="Q203"/>
  <c r="Q100"/>
  <c r="Q152"/>
  <c r="O161"/>
  <c r="Q14"/>
  <c r="O160"/>
  <c r="O97"/>
  <c r="Q201"/>
  <c r="H138"/>
  <c r="H54"/>
  <c r="H131"/>
  <c r="H178"/>
  <c r="H72"/>
  <c r="H82"/>
  <c r="H130"/>
  <c r="H32"/>
  <c r="H144"/>
  <c r="H110"/>
  <c r="H69"/>
  <c r="H151"/>
  <c r="H26"/>
  <c r="H28"/>
  <c r="H117"/>
  <c r="H179"/>
  <c r="H78"/>
  <c r="H118"/>
  <c r="H198"/>
  <c r="H22"/>
  <c r="H91"/>
  <c r="H56"/>
  <c r="H133"/>
  <c r="H176"/>
  <c r="H40"/>
  <c r="H61"/>
  <c r="H122"/>
  <c r="H49"/>
  <c r="H158"/>
  <c r="H86"/>
  <c r="H21"/>
  <c r="H108"/>
  <c r="H31"/>
  <c r="H146"/>
  <c r="H141"/>
  <c r="H123"/>
  <c r="H35"/>
  <c r="H113"/>
  <c r="H71"/>
  <c r="H92"/>
  <c r="H188"/>
  <c r="H168"/>
  <c r="H77"/>
  <c r="H96"/>
  <c r="H76"/>
  <c r="H66"/>
  <c r="H88"/>
  <c r="H60"/>
  <c r="H59"/>
  <c r="H24"/>
  <c r="H74"/>
  <c r="H129"/>
  <c r="H186"/>
  <c r="H169"/>
  <c r="H185"/>
  <c r="H132"/>
  <c r="H121"/>
  <c r="H114"/>
  <c r="H148"/>
  <c r="H65"/>
  <c r="H116"/>
  <c r="H42"/>
  <c r="H18"/>
  <c r="H38"/>
  <c r="H190"/>
  <c r="H12"/>
  <c r="H171"/>
  <c r="H73"/>
  <c r="H150"/>
  <c r="H83"/>
  <c r="H111"/>
  <c r="H81"/>
  <c r="H19"/>
  <c r="H119"/>
  <c r="H155"/>
  <c r="H104"/>
  <c r="H37"/>
  <c r="H33"/>
  <c r="H194"/>
  <c r="H94"/>
  <c r="H20"/>
  <c r="H142"/>
  <c r="H62"/>
  <c r="H27"/>
  <c r="H154"/>
  <c r="H140"/>
  <c r="H170"/>
  <c r="H63"/>
  <c r="H191"/>
  <c r="H193"/>
  <c r="H166"/>
  <c r="H39"/>
  <c r="H175"/>
  <c r="H11"/>
  <c r="H197"/>
  <c r="H57"/>
  <c r="H165"/>
  <c r="H87"/>
  <c r="H23"/>
  <c r="H112"/>
  <c r="H48"/>
  <c r="H125"/>
  <c r="H182"/>
  <c r="H106"/>
  <c r="H34"/>
  <c r="H84"/>
  <c r="H189"/>
  <c r="H51"/>
  <c r="H90"/>
  <c r="H9"/>
  <c r="H136"/>
  <c r="H44"/>
  <c r="H172"/>
  <c r="H43"/>
  <c r="H10"/>
  <c r="H67"/>
  <c r="H52"/>
  <c r="H15"/>
  <c r="H137"/>
  <c r="H149"/>
  <c r="H30"/>
  <c r="H58"/>
  <c r="H7"/>
  <c r="H55"/>
  <c r="H177"/>
  <c r="H29"/>
  <c r="H162"/>
  <c r="H45"/>
  <c r="H200"/>
  <c r="H135"/>
  <c r="H202"/>
  <c r="H147"/>
  <c r="H13"/>
  <c r="H93"/>
  <c r="H3"/>
  <c r="H68"/>
  <c r="H80"/>
  <c r="H124"/>
  <c r="H17"/>
  <c r="H105"/>
  <c r="H145"/>
  <c r="H101"/>
  <c r="H153"/>
  <c r="H79"/>
  <c r="H89"/>
  <c r="H36"/>
  <c r="H134"/>
  <c r="H4"/>
  <c r="H64"/>
  <c r="H173"/>
  <c r="H70"/>
  <c r="H167"/>
  <c r="H47"/>
  <c r="H187"/>
  <c r="H128"/>
  <c r="H196"/>
  <c r="H107"/>
  <c r="H126"/>
  <c r="H199"/>
  <c r="H103"/>
  <c r="H183"/>
  <c r="H53"/>
  <c r="H95"/>
  <c r="H5"/>
  <c r="H16"/>
  <c r="H181"/>
  <c r="H143"/>
  <c r="H25"/>
  <c r="H85"/>
  <c r="H102"/>
  <c r="H8"/>
  <c r="H174"/>
  <c r="H46"/>
  <c r="H159"/>
  <c r="H75"/>
  <c r="Q2" l="1"/>
  <c r="Q97"/>
  <c r="Q6"/>
  <c r="Q164"/>
  <c r="Q180"/>
  <c r="Q50"/>
  <c r="O115"/>
  <c r="O195"/>
  <c r="Q98"/>
  <c r="Q157"/>
  <c r="O184"/>
  <c r="O203"/>
  <c r="O201"/>
  <c r="Q160"/>
  <c r="O192"/>
  <c r="Q161"/>
  <c r="Q120"/>
  <c r="O127"/>
  <c r="O156"/>
  <c r="O14"/>
  <c r="O99"/>
  <c r="O100"/>
  <c r="O139"/>
  <c r="O152"/>
  <c r="B47" i="8"/>
  <c r="B49"/>
  <c r="B29"/>
  <c r="B31"/>
  <c r="C19"/>
  <c r="E21"/>
  <c r="F13" i="12"/>
  <c r="D4"/>
  <c r="C3"/>
  <c r="E49" i="8"/>
  <c r="C20"/>
  <c r="G4" i="12"/>
  <c r="C46" i="8"/>
  <c r="B20"/>
  <c r="G3" i="12"/>
  <c r="D28" i="8"/>
  <c r="E6" i="12"/>
  <c r="C47" i="8"/>
  <c r="C49"/>
  <c r="C29"/>
  <c r="C31"/>
  <c r="D19"/>
  <c r="C22"/>
  <c r="F14" i="12"/>
  <c r="E4"/>
  <c r="G5"/>
  <c r="E47" i="8"/>
  <c r="E22"/>
  <c r="C6" i="12"/>
  <c r="B30" i="8"/>
  <c r="G15" i="12"/>
  <c r="C30" i="8"/>
  <c r="C5" i="12"/>
  <c r="D47" i="8"/>
  <c r="D49"/>
  <c r="D29"/>
  <c r="D31"/>
  <c r="E19"/>
  <c r="D22"/>
  <c r="D15" i="12"/>
  <c r="F4"/>
  <c r="B6"/>
  <c r="E3"/>
  <c r="E31" i="8"/>
  <c r="E40" s="1"/>
  <c r="F3" i="12"/>
  <c r="D20" i="8"/>
  <c r="B5" i="12"/>
  <c r="D46" i="8"/>
  <c r="B21"/>
  <c r="B3" i="12"/>
  <c r="D48" i="8"/>
  <c r="E46"/>
  <c r="D30"/>
  <c r="E28"/>
  <c r="C21"/>
  <c r="B22"/>
  <c r="B4" i="12"/>
  <c r="D5"/>
  <c r="F6"/>
  <c r="E48" i="8"/>
  <c r="B46"/>
  <c r="E30"/>
  <c r="B28"/>
  <c r="D21"/>
  <c r="B19"/>
  <c r="C4" i="12"/>
  <c r="E5"/>
  <c r="G6"/>
  <c r="F5"/>
  <c r="D3"/>
  <c r="E29" i="8"/>
  <c r="E15" i="12"/>
  <c r="B48" i="8"/>
  <c r="C28"/>
  <c r="D6" i="12"/>
  <c r="C48" i="8"/>
  <c r="E20"/>
  <c r="E12" i="12"/>
  <c r="C50" i="8" l="1"/>
  <c r="C40"/>
  <c r="C38"/>
  <c r="D40"/>
  <c r="F22"/>
  <c r="D50"/>
  <c r="D7" i="12"/>
  <c r="D38" i="8"/>
  <c r="E23"/>
  <c r="C23"/>
  <c r="D37"/>
  <c r="D32"/>
  <c r="E38"/>
  <c r="B37"/>
  <c r="F28"/>
  <c r="B32"/>
  <c r="C39"/>
  <c r="H5" i="12"/>
  <c r="G7"/>
  <c r="D23" i="8"/>
  <c r="F46"/>
  <c r="B50"/>
  <c r="F7" i="12"/>
  <c r="F31" i="8"/>
  <c r="B40"/>
  <c r="E7" i="12"/>
  <c r="B38" i="8"/>
  <c r="F29"/>
  <c r="B39"/>
  <c r="F30"/>
  <c r="E39"/>
  <c r="D39"/>
  <c r="C37"/>
  <c r="C32"/>
  <c r="B7" i="12"/>
  <c r="H3"/>
  <c r="H6"/>
  <c r="F49" i="8"/>
  <c r="E32"/>
  <c r="E37"/>
  <c r="F20"/>
  <c r="E50"/>
  <c r="F48"/>
  <c r="B23"/>
  <c r="F19"/>
  <c r="H4" i="12"/>
  <c r="F21" i="8"/>
  <c r="C7" i="12"/>
  <c r="F47" i="8"/>
  <c r="L126" i="7"/>
  <c r="M126" s="1"/>
  <c r="L47"/>
  <c r="M47" s="1"/>
  <c r="L117"/>
  <c r="M117" s="1"/>
  <c r="L21"/>
  <c r="M21" s="1"/>
  <c r="L107"/>
  <c r="M107" s="1"/>
  <c r="L179"/>
  <c r="M179" s="1"/>
  <c r="L173"/>
  <c r="M173" s="1"/>
  <c r="L149"/>
  <c r="M149" s="1"/>
  <c r="L137"/>
  <c r="M137" s="1"/>
  <c r="L38"/>
  <c r="M38" s="1"/>
  <c r="L71"/>
  <c r="M71" s="1"/>
  <c r="L81"/>
  <c r="M81" s="1"/>
  <c r="L91"/>
  <c r="M91" s="1"/>
  <c r="L125"/>
  <c r="M125" s="1"/>
  <c r="L111"/>
  <c r="M111" s="1"/>
  <c r="L94"/>
  <c r="M94" s="1"/>
  <c r="L186"/>
  <c r="M186" s="1"/>
  <c r="L159"/>
  <c r="M159" s="1"/>
  <c r="L170"/>
  <c r="M170" s="1"/>
  <c r="L57"/>
  <c r="M57" s="1"/>
  <c r="L37"/>
  <c r="M37" s="1"/>
  <c r="L182"/>
  <c r="M182" s="1"/>
  <c r="L93"/>
  <c r="M93" s="1"/>
  <c r="L140"/>
  <c r="M140" s="1"/>
  <c r="L155"/>
  <c r="M155" s="1"/>
  <c r="L135"/>
  <c r="M135" s="1"/>
  <c r="L134"/>
  <c r="M134" s="1"/>
  <c r="L188"/>
  <c r="M188" s="1"/>
  <c r="L129"/>
  <c r="M129" s="1"/>
  <c r="L89"/>
  <c r="M89" s="1"/>
  <c r="L79"/>
  <c r="M79" s="1"/>
  <c r="L106"/>
  <c r="M106" s="1"/>
  <c r="L103"/>
  <c r="M103" s="1"/>
  <c r="L65"/>
  <c r="M65" s="1"/>
  <c r="L73"/>
  <c r="M73" s="1"/>
  <c r="L136"/>
  <c r="M136" s="1"/>
  <c r="L63"/>
  <c r="M63" s="1"/>
  <c r="L181"/>
  <c r="M181" s="1"/>
  <c r="L122"/>
  <c r="M122" s="1"/>
  <c r="L42"/>
  <c r="M42" s="1"/>
  <c r="L102"/>
  <c r="M102" s="1"/>
  <c r="L158"/>
  <c r="M158" s="1"/>
  <c r="L178"/>
  <c r="M178" s="1"/>
  <c r="L13"/>
  <c r="M13" s="1"/>
  <c r="L26"/>
  <c r="M26" s="1"/>
  <c r="L20"/>
  <c r="M20" s="1"/>
  <c r="L166"/>
  <c r="M166" s="1"/>
  <c r="L67"/>
  <c r="M67" s="1"/>
  <c r="L128"/>
  <c r="M128" s="1"/>
  <c r="L144"/>
  <c r="M144" s="1"/>
  <c r="L16"/>
  <c r="M16" s="1"/>
  <c r="L19"/>
  <c r="M19" s="1"/>
  <c r="L113"/>
  <c r="M113" s="1"/>
  <c r="L190"/>
  <c r="M190" s="1"/>
  <c r="L12"/>
  <c r="M12" s="1"/>
  <c r="L8"/>
  <c r="M8" s="1"/>
  <c r="L147"/>
  <c r="M147" s="1"/>
  <c r="L96"/>
  <c r="M96" s="1"/>
  <c r="L76"/>
  <c r="M76" s="1"/>
  <c r="L9"/>
  <c r="L165"/>
  <c r="M165" s="1"/>
  <c r="L25"/>
  <c r="M25" s="1"/>
  <c r="L131"/>
  <c r="M131" s="1"/>
  <c r="L169"/>
  <c r="M169" s="1"/>
  <c r="L22"/>
  <c r="M22" s="1"/>
  <c r="L200"/>
  <c r="M200" s="1"/>
  <c r="L116"/>
  <c r="M116" s="1"/>
  <c r="L199"/>
  <c r="M199" s="1"/>
  <c r="L95"/>
  <c r="M95" s="1"/>
  <c r="L176"/>
  <c r="M176" s="1"/>
  <c r="L33"/>
  <c r="M33" s="1"/>
  <c r="L146"/>
  <c r="M146" s="1"/>
  <c r="L143"/>
  <c r="M143" s="1"/>
  <c r="L198"/>
  <c r="M198" s="1"/>
  <c r="L51"/>
  <c r="M51" s="1"/>
  <c r="L17"/>
  <c r="M17" s="1"/>
  <c r="L108"/>
  <c r="M108" s="1"/>
  <c r="L168"/>
  <c r="M168" s="1"/>
  <c r="L53"/>
  <c r="M53" s="1"/>
  <c r="L124"/>
  <c r="M124" s="1"/>
  <c r="L87"/>
  <c r="M87" s="1"/>
  <c r="L5"/>
  <c r="M5" s="1"/>
  <c r="L141"/>
  <c r="M141" s="1"/>
  <c r="L75"/>
  <c r="M75" s="1"/>
  <c r="L88"/>
  <c r="M88" s="1"/>
  <c r="L29"/>
  <c r="M29" s="1"/>
  <c r="L92"/>
  <c r="M92" s="1"/>
  <c r="L44"/>
  <c r="M44" s="1"/>
  <c r="L78"/>
  <c r="M78" s="1"/>
  <c r="L82"/>
  <c r="M82" s="1"/>
  <c r="L62"/>
  <c r="M62" s="1"/>
  <c r="L15"/>
  <c r="M15" s="1"/>
  <c r="L167"/>
  <c r="M167" s="1"/>
  <c r="L34"/>
  <c r="M34" s="1"/>
  <c r="L48"/>
  <c r="M48" s="1"/>
  <c r="L28"/>
  <c r="M28" s="1"/>
  <c r="L4"/>
  <c r="L142"/>
  <c r="M142" s="1"/>
  <c r="L70"/>
  <c r="M70" s="1"/>
  <c r="L69"/>
  <c r="M69" s="1"/>
  <c r="L32"/>
  <c r="M32" s="1"/>
  <c r="L101"/>
  <c r="M101" s="1"/>
  <c r="L183"/>
  <c r="M183" s="1"/>
  <c r="L55"/>
  <c r="M55" s="1"/>
  <c r="L40"/>
  <c r="M40" s="1"/>
  <c r="L41"/>
  <c r="M41" s="1"/>
  <c r="L104"/>
  <c r="M104" s="1"/>
  <c r="L30"/>
  <c r="M30" s="1"/>
  <c r="L148"/>
  <c r="M148" s="1"/>
  <c r="L194"/>
  <c r="M194" s="1"/>
  <c r="L189"/>
  <c r="M189" s="1"/>
  <c r="D14" i="15"/>
  <c r="L171" i="7"/>
  <c r="M171" s="1"/>
  <c r="L138"/>
  <c r="M138" s="1"/>
  <c r="L24"/>
  <c r="M24" s="1"/>
  <c r="L35"/>
  <c r="M35" s="1"/>
  <c r="L49"/>
  <c r="M49" s="1"/>
  <c r="L175"/>
  <c r="M175" s="1"/>
  <c r="L118"/>
  <c r="M118" s="1"/>
  <c r="L187"/>
  <c r="M187" s="1"/>
  <c r="L85"/>
  <c r="M85" s="1"/>
  <c r="L74"/>
  <c r="M74" s="1"/>
  <c r="L11"/>
  <c r="M11" s="1"/>
  <c r="L3"/>
  <c r="L61"/>
  <c r="M61" s="1"/>
  <c r="L54"/>
  <c r="M54" s="1"/>
  <c r="L36"/>
  <c r="M36" s="1"/>
  <c r="L151"/>
  <c r="M151" s="1"/>
  <c r="L68"/>
  <c r="M68" s="1"/>
  <c r="L185"/>
  <c r="M185" s="1"/>
  <c r="L145"/>
  <c r="M145" s="1"/>
  <c r="L60"/>
  <c r="M60" s="1"/>
  <c r="L109"/>
  <c r="M109" s="1"/>
  <c r="L59"/>
  <c r="M59" s="1"/>
  <c r="L56"/>
  <c r="M56" s="1"/>
  <c r="L10"/>
  <c r="L105"/>
  <c r="M105" s="1"/>
  <c r="L31"/>
  <c r="M31" s="1"/>
  <c r="L154"/>
  <c r="M154" s="1"/>
  <c r="L153"/>
  <c r="M153" s="1"/>
  <c r="L43"/>
  <c r="M43" s="1"/>
  <c r="L84"/>
  <c r="M84" s="1"/>
  <c r="L83"/>
  <c r="M83" s="1"/>
  <c r="L150"/>
  <c r="M150" s="1"/>
  <c r="L130"/>
  <c r="M130" s="1"/>
  <c r="L172"/>
  <c r="M172" s="1"/>
  <c r="L112"/>
  <c r="M112" s="1"/>
  <c r="L177"/>
  <c r="M177" s="1"/>
  <c r="L133"/>
  <c r="M133" s="1"/>
  <c r="L46"/>
  <c r="M46" s="1"/>
  <c r="L58"/>
  <c r="M58" s="1"/>
  <c r="L52"/>
  <c r="M52" s="1"/>
  <c r="L7"/>
  <c r="M7" s="1"/>
  <c r="L90"/>
  <c r="M90" s="1"/>
  <c r="L193"/>
  <c r="M193" s="1"/>
  <c r="L121"/>
  <c r="M121" s="1"/>
  <c r="L110"/>
  <c r="M110" s="1"/>
  <c r="L39"/>
  <c r="M39" s="1"/>
  <c r="L119"/>
  <c r="M119" s="1"/>
  <c r="L114"/>
  <c r="M114" s="1"/>
  <c r="L77"/>
  <c r="M77" s="1"/>
  <c r="L174"/>
  <c r="M174" s="1"/>
  <c r="L202"/>
  <c r="M202" s="1"/>
  <c r="L72"/>
  <c r="M72" s="1"/>
  <c r="L197"/>
  <c r="M197" s="1"/>
  <c r="L27"/>
  <c r="M27" s="1"/>
  <c r="L45"/>
  <c r="M45" s="1"/>
  <c r="L23"/>
  <c r="M23" s="1"/>
  <c r="L123"/>
  <c r="M123" s="1"/>
  <c r="L18"/>
  <c r="M18" s="1"/>
  <c r="L64"/>
  <c r="M64" s="1"/>
  <c r="L132"/>
  <c r="M132" s="1"/>
  <c r="L162"/>
  <c r="M162" s="1"/>
  <c r="L191"/>
  <c r="M191" s="1"/>
  <c r="L66"/>
  <c r="M66" s="1"/>
  <c r="L80"/>
  <c r="M80" s="1"/>
  <c r="L196"/>
  <c r="M196" s="1"/>
  <c r="E5" i="19" l="1"/>
  <c r="M3" i="7"/>
  <c r="E6" i="19" s="1"/>
  <c r="M9" i="7"/>
  <c r="D6" i="19" s="1"/>
  <c r="D5"/>
  <c r="M4" i="7"/>
  <c r="C5" i="19"/>
  <c r="M10" i="7"/>
  <c r="C6" i="19" s="1"/>
  <c r="D11" i="8"/>
  <c r="E11"/>
  <c r="B3"/>
  <c r="B11"/>
  <c r="B14" i="15"/>
  <c r="Q45" i="7"/>
  <c r="Q172"/>
  <c r="Q148"/>
  <c r="Q179"/>
  <c r="Q91"/>
  <c r="Q107"/>
  <c r="Q78"/>
  <c r="Q81"/>
  <c r="Q80"/>
  <c r="B12" i="15"/>
  <c r="B13"/>
  <c r="D13" i="12"/>
  <c r="Q143" i="7"/>
  <c r="Q199"/>
  <c r="E14" i="12"/>
  <c r="Q63" i="7"/>
  <c r="O140"/>
  <c r="Q94"/>
  <c r="Q149"/>
  <c r="Q162"/>
  <c r="O58"/>
  <c r="Q60"/>
  <c r="O136"/>
  <c r="Q37"/>
  <c r="Q130"/>
  <c r="Q70"/>
  <c r="Q165"/>
  <c r="Q170"/>
  <c r="O71"/>
  <c r="O117"/>
  <c r="Q190"/>
  <c r="Q13"/>
  <c r="Q38"/>
  <c r="O47"/>
  <c r="Q132"/>
  <c r="Q125"/>
  <c r="Q52"/>
  <c r="Q153"/>
  <c r="O59"/>
  <c r="Q3"/>
  <c r="G14" i="12"/>
  <c r="D6" i="15"/>
  <c r="Q29" i="7"/>
  <c r="Q181"/>
  <c r="Q186"/>
  <c r="Q137"/>
  <c r="Q126"/>
  <c r="C13" i="15"/>
  <c r="D13"/>
  <c r="C3"/>
  <c r="F38" i="8"/>
  <c r="D41"/>
  <c r="B4" i="15"/>
  <c r="D11"/>
  <c r="D12"/>
  <c r="C6"/>
  <c r="E14"/>
  <c r="F39" i="8"/>
  <c r="D4" i="15"/>
  <c r="B6"/>
  <c r="D3"/>
  <c r="C41" i="8"/>
  <c r="B11" i="15"/>
  <c r="E11"/>
  <c r="E13"/>
  <c r="E41" i="8"/>
  <c r="B5" i="15"/>
  <c r="C12"/>
  <c r="E3"/>
  <c r="E5"/>
  <c r="C11"/>
  <c r="B3"/>
  <c r="F40" i="8"/>
  <c r="C4" i="15"/>
  <c r="D5"/>
  <c r="C5"/>
  <c r="C14"/>
  <c r="E6"/>
  <c r="F37" i="8"/>
  <c r="B41"/>
  <c r="F50"/>
  <c r="F32"/>
  <c r="D14" i="12"/>
  <c r="F23" i="8"/>
  <c r="C14" i="12"/>
  <c r="H7"/>
  <c r="E13"/>
  <c r="B14"/>
  <c r="O16" i="7"/>
  <c r="G13" i="12"/>
  <c r="C12"/>
  <c r="Q111" i="7"/>
  <c r="G12" i="12"/>
  <c r="Q173" i="7"/>
  <c r="F15" i="12"/>
  <c r="Q20" i="7"/>
  <c r="C13" i="12"/>
  <c r="Q182" i="7"/>
  <c r="C15" i="12"/>
  <c r="Q64" i="7"/>
  <c r="D12" i="12"/>
  <c r="B15"/>
  <c r="Q30" i="7"/>
  <c r="B13" i="12"/>
  <c r="Q18" i="7"/>
  <c r="Q145"/>
  <c r="F12" i="12"/>
  <c r="Q31" i="7"/>
  <c r="B14" i="8"/>
  <c r="Q21" i="7"/>
  <c r="Q109"/>
  <c r="C12" i="8"/>
  <c r="Q57" i="7"/>
  <c r="D13" i="8"/>
  <c r="Q93" i="7"/>
  <c r="Q159"/>
  <c r="Q121"/>
  <c r="Q35"/>
  <c r="Q147"/>
  <c r="Q112"/>
  <c r="Q88"/>
  <c r="Q19"/>
  <c r="Q202"/>
  <c r="Q119"/>
  <c r="Q193"/>
  <c r="Q83"/>
  <c r="Q154"/>
  <c r="Q11"/>
  <c r="Q118"/>
  <c r="Q24"/>
  <c r="Q40"/>
  <c r="Q32"/>
  <c r="Q15"/>
  <c r="Q87"/>
  <c r="Q9"/>
  <c r="Q8"/>
  <c r="Q42"/>
  <c r="Q36"/>
  <c r="Q41"/>
  <c r="Q102"/>
  <c r="E12" i="15"/>
  <c r="L86" i="7"/>
  <c r="F5" i="19" s="1"/>
  <c r="Q174" i="7"/>
  <c r="Q90"/>
  <c r="Q166"/>
  <c r="Q135"/>
  <c r="Q196"/>
  <c r="Q123"/>
  <c r="Q197"/>
  <c r="Q77"/>
  <c r="O7"/>
  <c r="Q133"/>
  <c r="E13" i="8"/>
  <c r="Q105" i="7"/>
  <c r="Q53"/>
  <c r="Q33"/>
  <c r="Q116"/>
  <c r="Q131"/>
  <c r="C14" i="8"/>
  <c r="Q76" i="7"/>
  <c r="Q178"/>
  <c r="B13" i="8"/>
  <c r="Q103" i="7"/>
  <c r="Q129"/>
  <c r="Q150"/>
  <c r="Q187"/>
  <c r="Q189"/>
  <c r="Q101"/>
  <c r="Q167"/>
  <c r="Q113"/>
  <c r="Q128"/>
  <c r="Q67"/>
  <c r="Q122"/>
  <c r="Q65"/>
  <c r="Q89"/>
  <c r="Q84"/>
  <c r="Q74"/>
  <c r="Q175"/>
  <c r="Q138"/>
  <c r="C13" i="8"/>
  <c r="Q55" i="7"/>
  <c r="Q48"/>
  <c r="Q124"/>
  <c r="Q146"/>
  <c r="Q110"/>
  <c r="Q43"/>
  <c r="Q68"/>
  <c r="Q61"/>
  <c r="Q85"/>
  <c r="Q49"/>
  <c r="Q171"/>
  <c r="Q44"/>
  <c r="Q141"/>
  <c r="O51"/>
  <c r="Q176"/>
  <c r="Q200"/>
  <c r="Q25"/>
  <c r="Q106"/>
  <c r="Q191"/>
  <c r="Q72"/>
  <c r="D12" i="8"/>
  <c r="Q142" i="7"/>
  <c r="Q168"/>
  <c r="Q198"/>
  <c r="Q22"/>
  <c r="Q194"/>
  <c r="Q108"/>
  <c r="Q95"/>
  <c r="Q26"/>
  <c r="Q73"/>
  <c r="Q79"/>
  <c r="Q46"/>
  <c r="Q54"/>
  <c r="B12" i="8"/>
  <c r="Q28" i="7"/>
  <c r="Q62"/>
  <c r="Q75"/>
  <c r="Q17"/>
  <c r="Q169"/>
  <c r="Q12"/>
  <c r="Q134"/>
  <c r="Q27"/>
  <c r="Q39"/>
  <c r="Q185"/>
  <c r="D14" i="8"/>
  <c r="Q69" i="7"/>
  <c r="Q82"/>
  <c r="Q66"/>
  <c r="Q23"/>
  <c r="Q114"/>
  <c r="Q177"/>
  <c r="Q56"/>
  <c r="Q151"/>
  <c r="Q104"/>
  <c r="Q183"/>
  <c r="Q34"/>
  <c r="E12" i="8"/>
  <c r="Q92" i="7"/>
  <c r="Q5"/>
  <c r="Q96"/>
  <c r="Q144"/>
  <c r="Q158"/>
  <c r="Q188"/>
  <c r="Q155"/>
  <c r="E14" i="8"/>
  <c r="C36" i="15" l="1"/>
  <c r="G5" i="19"/>
  <c r="C11" i="8"/>
  <c r="M86" i="7"/>
  <c r="F6" i="19"/>
  <c r="G6" s="1"/>
  <c r="O4" i="7"/>
  <c r="Q10"/>
  <c r="B38" i="15" s="1"/>
  <c r="D38"/>
  <c r="C37"/>
  <c r="C35"/>
  <c r="B36"/>
  <c r="E38"/>
  <c r="E37"/>
  <c r="C38"/>
  <c r="Q47" i="7"/>
  <c r="B37" i="15" s="1"/>
  <c r="Q59" i="7"/>
  <c r="O143"/>
  <c r="O52"/>
  <c r="Q7"/>
  <c r="D36" i="15" s="1"/>
  <c r="O56" i="7"/>
  <c r="Q58"/>
  <c r="B35" i="15" s="1"/>
  <c r="O72" i="7"/>
  <c r="O74"/>
  <c r="O19"/>
  <c r="O181"/>
  <c r="O173"/>
  <c r="O175"/>
  <c r="O64"/>
  <c r="O166"/>
  <c r="O111"/>
  <c r="O155"/>
  <c r="O150"/>
  <c r="O171"/>
  <c r="O172"/>
  <c r="Q71"/>
  <c r="Q140"/>
  <c r="O109"/>
  <c r="O103"/>
  <c r="O177"/>
  <c r="O185"/>
  <c r="O135"/>
  <c r="O45"/>
  <c r="O191"/>
  <c r="O122"/>
  <c r="O170"/>
  <c r="O29"/>
  <c r="O113"/>
  <c r="O20"/>
  <c r="O60"/>
  <c r="O149"/>
  <c r="O42"/>
  <c r="O142"/>
  <c r="O130"/>
  <c r="O95"/>
  <c r="O76"/>
  <c r="O83"/>
  <c r="O84"/>
  <c r="O165"/>
  <c r="O101"/>
  <c r="O96"/>
  <c r="O34"/>
  <c r="O28"/>
  <c r="O112"/>
  <c r="Q117"/>
  <c r="O106"/>
  <c r="O200"/>
  <c r="O78"/>
  <c r="O104"/>
  <c r="O145"/>
  <c r="O39"/>
  <c r="E4" i="15"/>
  <c r="Q4" i="7"/>
  <c r="O169"/>
  <c r="O43"/>
  <c r="O134"/>
  <c r="O53"/>
  <c r="O196"/>
  <c r="O25"/>
  <c r="O75"/>
  <c r="O94"/>
  <c r="O199"/>
  <c r="O121"/>
  <c r="O89"/>
  <c r="O133"/>
  <c r="O73"/>
  <c r="O129"/>
  <c r="O167"/>
  <c r="O153"/>
  <c r="O57"/>
  <c r="O69"/>
  <c r="O13"/>
  <c r="O183"/>
  <c r="O21"/>
  <c r="O55"/>
  <c r="O144"/>
  <c r="O148"/>
  <c r="O132"/>
  <c r="O15"/>
  <c r="O154"/>
  <c r="O190"/>
  <c r="O67"/>
  <c r="O54"/>
  <c r="Q16"/>
  <c r="O123"/>
  <c r="O102"/>
  <c r="O131"/>
  <c r="O82"/>
  <c r="O63"/>
  <c r="O88"/>
  <c r="O151"/>
  <c r="O81"/>
  <c r="O90"/>
  <c r="O189"/>
  <c r="O22"/>
  <c r="O18"/>
  <c r="O85"/>
  <c r="O176"/>
  <c r="O179"/>
  <c r="O116"/>
  <c r="O93"/>
  <c r="O40"/>
  <c r="O48"/>
  <c r="Q136"/>
  <c r="D37" i="15" s="1"/>
  <c r="Q51" i="7"/>
  <c r="O178"/>
  <c r="O41"/>
  <c r="O110"/>
  <c r="O5"/>
  <c r="O126"/>
  <c r="O8"/>
  <c r="O35"/>
  <c r="O114"/>
  <c r="O44"/>
  <c r="O91"/>
  <c r="O198"/>
  <c r="O10"/>
  <c r="O30"/>
  <c r="O125"/>
  <c r="O146"/>
  <c r="O193"/>
  <c r="O188"/>
  <c r="O24"/>
  <c r="O162"/>
  <c r="O31"/>
  <c r="O77"/>
  <c r="O65"/>
  <c r="O33"/>
  <c r="O138"/>
  <c r="O32"/>
  <c r="F14" i="15"/>
  <c r="O194" i="7"/>
  <c r="O80"/>
  <c r="O70"/>
  <c r="O141"/>
  <c r="O137"/>
  <c r="O9"/>
  <c r="O187"/>
  <c r="O23"/>
  <c r="O49"/>
  <c r="O79"/>
  <c r="O38"/>
  <c r="O168"/>
  <c r="O27"/>
  <c r="O182"/>
  <c r="O124"/>
  <c r="O119"/>
  <c r="O118"/>
  <c r="O26"/>
  <c r="O46"/>
  <c r="O87"/>
  <c r="O147"/>
  <c r="O12"/>
  <c r="O36"/>
  <c r="O61"/>
  <c r="O107"/>
  <c r="O186"/>
  <c r="O108"/>
  <c r="O3"/>
  <c r="O66"/>
  <c r="O68"/>
  <c r="O128"/>
  <c r="O159"/>
  <c r="O92"/>
  <c r="O197"/>
  <c r="O37"/>
  <c r="O158"/>
  <c r="O62"/>
  <c r="O202"/>
  <c r="O17"/>
  <c r="O11"/>
  <c r="O105"/>
  <c r="O174"/>
  <c r="E16" i="12"/>
  <c r="F13" i="15"/>
  <c r="B22"/>
  <c r="D15"/>
  <c r="D22"/>
  <c r="F12"/>
  <c r="E15"/>
  <c r="B15"/>
  <c r="F11"/>
  <c r="D21"/>
  <c r="E22"/>
  <c r="E21"/>
  <c r="D19"/>
  <c r="C21"/>
  <c r="B20"/>
  <c r="B19"/>
  <c r="C22"/>
  <c r="F41" i="8"/>
  <c r="E19" i="15"/>
  <c r="C20"/>
  <c r="D20"/>
  <c r="B21"/>
  <c r="C19"/>
  <c r="C15"/>
  <c r="H14" i="12"/>
  <c r="F16"/>
  <c r="D16"/>
  <c r="E3" i="8"/>
  <c r="H13" i="12"/>
  <c r="G16"/>
  <c r="C7" i="15"/>
  <c r="C16" i="12"/>
  <c r="F5" i="15"/>
  <c r="C15" i="8"/>
  <c r="H15" i="12"/>
  <c r="F6" i="15"/>
  <c r="B12" i="12"/>
  <c r="D7" i="15"/>
  <c r="E57" i="8"/>
  <c r="B7" i="15"/>
  <c r="F3"/>
  <c r="C55" i="8"/>
  <c r="B57"/>
  <c r="C57"/>
  <c r="D54"/>
  <c r="E56"/>
  <c r="D57"/>
  <c r="E55"/>
  <c r="B54"/>
  <c r="C56"/>
  <c r="B56"/>
  <c r="C54"/>
  <c r="D56"/>
  <c r="B55"/>
  <c r="D55"/>
  <c r="Q86" i="7"/>
  <c r="E36" i="15" s="1"/>
  <c r="E5" i="8"/>
  <c r="B5"/>
  <c r="C5"/>
  <c r="D5"/>
  <c r="B6"/>
  <c r="C6"/>
  <c r="D6"/>
  <c r="E6"/>
  <c r="D3"/>
  <c r="C3"/>
  <c r="B4"/>
  <c r="C4"/>
  <c r="D4"/>
  <c r="E4"/>
  <c r="F14"/>
  <c r="E15"/>
  <c r="B15"/>
  <c r="F13"/>
  <c r="D35" i="15" l="1"/>
  <c r="D39" s="1"/>
  <c r="E35"/>
  <c r="O86" i="7"/>
  <c r="F21" i="15"/>
  <c r="F22"/>
  <c r="E20"/>
  <c r="F38"/>
  <c r="F37"/>
  <c r="F15"/>
  <c r="D23"/>
  <c r="B23"/>
  <c r="F19"/>
  <c r="C23"/>
  <c r="B39"/>
  <c r="E7"/>
  <c r="F11" i="8"/>
  <c r="B16" i="12"/>
  <c r="H16" s="1"/>
  <c r="H12"/>
  <c r="F4" i="15"/>
  <c r="F7" s="1"/>
  <c r="F55" i="8"/>
  <c r="E54"/>
  <c r="D58"/>
  <c r="B58"/>
  <c r="C58"/>
  <c r="F57"/>
  <c r="F56"/>
  <c r="F6"/>
  <c r="F5"/>
  <c r="D7"/>
  <c r="E7"/>
  <c r="B7"/>
  <c r="F3"/>
  <c r="C7"/>
  <c r="D15"/>
  <c r="F12"/>
  <c r="F4"/>
  <c r="E39" i="15" l="1"/>
  <c r="C39"/>
  <c r="F36"/>
  <c r="E23"/>
  <c r="F20"/>
  <c r="F23" s="1"/>
  <c r="F35"/>
  <c r="E58" i="8"/>
  <c r="F15"/>
  <c r="F54"/>
  <c r="F58" s="1"/>
  <c r="F7"/>
  <c r="F39" i="15" l="1"/>
</calcChain>
</file>

<file path=xl/sharedStrings.xml><?xml version="1.0" encoding="utf-8"?>
<sst xmlns="http://schemas.openxmlformats.org/spreadsheetml/2006/main" count="1014" uniqueCount="79">
  <si>
    <t>Product</t>
  </si>
  <si>
    <t>Price</t>
  </si>
  <si>
    <t>Stage</t>
  </si>
  <si>
    <t>Status</t>
  </si>
  <si>
    <t>Type</t>
  </si>
  <si>
    <t>Product ID</t>
  </si>
  <si>
    <t>Product Name</t>
  </si>
  <si>
    <t>Commission Rate</t>
  </si>
  <si>
    <t>Stage Id</t>
  </si>
  <si>
    <t>Open</t>
  </si>
  <si>
    <t>Closed-Win</t>
  </si>
  <si>
    <t>Closed-Lose</t>
  </si>
  <si>
    <t>Status Id</t>
  </si>
  <si>
    <t>Probability</t>
  </si>
  <si>
    <t>Customer ID</t>
  </si>
  <si>
    <t>Pr01</t>
  </si>
  <si>
    <t>Pr02</t>
  </si>
  <si>
    <t>Pr03</t>
  </si>
  <si>
    <t>Pr04</t>
  </si>
  <si>
    <t>Lead Source ID</t>
  </si>
  <si>
    <t>LS01</t>
  </si>
  <si>
    <t>LS02</t>
  </si>
  <si>
    <t>LS03</t>
  </si>
  <si>
    <t>LS04</t>
  </si>
  <si>
    <t>Tradeshow</t>
  </si>
  <si>
    <t>Advertising</t>
  </si>
  <si>
    <t>Referral</t>
  </si>
  <si>
    <t>Units</t>
  </si>
  <si>
    <t>LeadSource</t>
  </si>
  <si>
    <t>Number of Calls</t>
  </si>
  <si>
    <t>Total</t>
  </si>
  <si>
    <t>Social</t>
  </si>
  <si>
    <t>Lead Source</t>
  </si>
  <si>
    <t>Centurion Mezzle Spark Igniter</t>
  </si>
  <si>
    <t>Half-Spar Radium Flange</t>
  </si>
  <si>
    <t>Meezor Turbine Counter-Thruster</t>
  </si>
  <si>
    <t>Quarter</t>
  </si>
  <si>
    <t>Forecasted Sales</t>
  </si>
  <si>
    <t>Forecasted Commission</t>
  </si>
  <si>
    <t>Forecasted CGS</t>
  </si>
  <si>
    <t>Forecasted Profit</t>
  </si>
  <si>
    <t>Q1</t>
  </si>
  <si>
    <t>Q2</t>
  </si>
  <si>
    <t>Q3</t>
  </si>
  <si>
    <t>Q4</t>
  </si>
  <si>
    <t>Profit per Quarter</t>
  </si>
  <si>
    <t>1 Lead</t>
  </si>
  <si>
    <t>2 Qualified</t>
  </si>
  <si>
    <t>4 Proposal</t>
  </si>
  <si>
    <t>5 Negotiation</t>
  </si>
  <si>
    <t>6 Close</t>
  </si>
  <si>
    <t>CGS per Quarter</t>
  </si>
  <si>
    <t>Lead Source Cost per Quarter</t>
  </si>
  <si>
    <t>Average</t>
  </si>
  <si>
    <t>Sales Revenue per Quarter</t>
  </si>
  <si>
    <t>Commission Paid per Quarter</t>
  </si>
  <si>
    <t>Allocated Lead Source Cost</t>
  </si>
  <si>
    <t>Forecasted Net Profit</t>
  </si>
  <si>
    <t>3 Need Discovery</t>
  </si>
  <si>
    <t>Closed Wins</t>
  </si>
  <si>
    <t>Total Wins and Loses</t>
  </si>
  <si>
    <t>Closing Ratio</t>
  </si>
  <si>
    <t>Method</t>
  </si>
  <si>
    <t>Radial Atomizer</t>
  </si>
  <si>
    <t>Unit Cost</t>
  </si>
  <si>
    <t>"Closed-Win" Percentage by Product by Quarter</t>
  </si>
  <si>
    <t>Number of Closed-Win Accounts by Product by Quarter</t>
  </si>
  <si>
    <t>Number of Accounts by Product by Quarter</t>
  </si>
  <si>
    <t>Sales by Product by Lead Source</t>
  </si>
  <si>
    <t>Sales by Product by Quarter</t>
  </si>
  <si>
    <t>Total Number of Sales Calls by Product by Quarter</t>
  </si>
  <si>
    <t>Commission by Product by Quarter</t>
  </si>
  <si>
    <t>Number of Accounts in Pipeline (4th Quarter) by Product</t>
  </si>
  <si>
    <t>Forecasted Value of Accounts in Pipeline (4th Quarter) by Product</t>
  </si>
  <si>
    <t>Closing Ratio by Quarter</t>
  </si>
  <si>
    <t>Sales</t>
  </si>
  <si>
    <t>Sales and Commission by Quarter</t>
  </si>
  <si>
    <t>Commission</t>
  </si>
  <si>
    <t>"Close-Lose" Analysis by Method by Stage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</si>
</sst>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20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5"/>
      </top>
      <bottom style="thin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/>
    <xf numFmtId="165" fontId="0" fillId="0" borderId="1" xfId="0" applyNumberFormat="1" applyFont="1" applyBorder="1"/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"/>
    </xf>
    <xf numFmtId="166" fontId="0" fillId="0" borderId="0" xfId="1" applyNumberFormat="1" applyFont="1"/>
    <xf numFmtId="49" fontId="0" fillId="0" borderId="0" xfId="0" applyNumberForma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1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0" fillId="0" borderId="3" xfId="0" applyNumberFormat="1" applyBorder="1"/>
    <xf numFmtId="1" fontId="0" fillId="0" borderId="3" xfId="0" applyNumberFormat="1" applyBorder="1" applyAlignment="1">
      <alignment horizontal="center"/>
    </xf>
    <xf numFmtId="10" fontId="0" fillId="0" borderId="3" xfId="1" applyNumberFormat="1" applyFont="1" applyBorder="1"/>
    <xf numFmtId="164" fontId="0" fillId="0" borderId="3" xfId="0" applyNumberFormat="1" applyBorder="1"/>
    <xf numFmtId="0" fontId="0" fillId="0" borderId="2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6" fontId="0" fillId="0" borderId="5" xfId="1" applyNumberFormat="1" applyFont="1" applyBorder="1"/>
    <xf numFmtId="166" fontId="0" fillId="0" borderId="6" xfId="1" applyNumberFormat="1" applyFont="1" applyBorder="1"/>
    <xf numFmtId="10" fontId="0" fillId="0" borderId="4" xfId="1" applyNumberFormat="1" applyFont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0" fontId="0" fillId="0" borderId="0" xfId="1" applyNumberFormat="1" applyFont="1"/>
    <xf numFmtId="164" fontId="0" fillId="0" borderId="1" xfId="0" applyNumberFormat="1" applyFont="1" applyBorder="1"/>
    <xf numFmtId="0" fontId="8" fillId="0" borderId="0" xfId="0" applyFont="1"/>
    <xf numFmtId="10" fontId="0" fillId="0" borderId="0" xfId="0" applyNumberForma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0" fontId="0" fillId="0" borderId="8" xfId="0" applyNumberFormat="1" applyBorder="1"/>
    <xf numFmtId="9" fontId="0" fillId="0" borderId="8" xfId="1" applyFont="1" applyBorder="1" applyAlignment="1">
      <alignment horizontal="center"/>
    </xf>
    <xf numFmtId="10" fontId="0" fillId="0" borderId="9" xfId="1" applyNumberFormat="1" applyFont="1" applyBorder="1"/>
    <xf numFmtId="10" fontId="0" fillId="0" borderId="10" xfId="1" applyNumberFormat="1" applyFont="1" applyBorder="1"/>
    <xf numFmtId="10" fontId="0" fillId="0" borderId="11" xfId="0" applyNumberFormat="1" applyBorder="1"/>
    <xf numFmtId="0" fontId="0" fillId="3" borderId="12" xfId="0" applyFont="1" applyFill="1" applyBorder="1"/>
    <xf numFmtId="0" fontId="0" fillId="0" borderId="12" xfId="0" applyFont="1" applyBorder="1"/>
    <xf numFmtId="0" fontId="0" fillId="0" borderId="13" xfId="0" applyFont="1" applyBorder="1"/>
    <xf numFmtId="164" fontId="0" fillId="0" borderId="13" xfId="0" applyNumberFormat="1" applyFont="1" applyBorder="1"/>
    <xf numFmtId="9" fontId="0" fillId="0" borderId="14" xfId="1" applyNumberFormat="1" applyFont="1" applyBorder="1"/>
    <xf numFmtId="164" fontId="0" fillId="0" borderId="14" xfId="0" applyNumberFormat="1" applyFont="1" applyBorder="1"/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3" borderId="15" xfId="0" applyFont="1" applyFill="1" applyBorder="1"/>
    <xf numFmtId="0" fontId="0" fillId="3" borderId="16" xfId="0" applyFont="1" applyFill="1" applyBorder="1"/>
    <xf numFmtId="164" fontId="0" fillId="3" borderId="16" xfId="0" applyNumberFormat="1" applyFont="1" applyFill="1" applyBorder="1"/>
    <xf numFmtId="164" fontId="0" fillId="3" borderId="17" xfId="0" applyNumberFormat="1" applyFont="1" applyFill="1" applyBorder="1"/>
    <xf numFmtId="0" fontId="0" fillId="0" borderId="15" xfId="0" applyFont="1" applyBorder="1"/>
    <xf numFmtId="0" fontId="0" fillId="0" borderId="16" xfId="0" applyFont="1" applyBorder="1"/>
    <xf numFmtId="164" fontId="0" fillId="0" borderId="16" xfId="0" applyNumberFormat="1" applyFont="1" applyBorder="1"/>
    <xf numFmtId="164" fontId="0" fillId="0" borderId="17" xfId="0" applyNumberFormat="1" applyFont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9" fontId="0" fillId="3" borderId="17" xfId="1" applyNumberFormat="1" applyFont="1" applyFill="1" applyBorder="1"/>
    <xf numFmtId="9" fontId="0" fillId="0" borderId="17" xfId="1" applyNumberFormat="1" applyFont="1" applyBorder="1"/>
    <xf numFmtId="0" fontId="0" fillId="3" borderId="14" xfId="0" applyFont="1" applyFill="1" applyBorder="1"/>
    <xf numFmtId="0" fontId="0" fillId="0" borderId="14" xfId="0" applyFont="1" applyBorder="1"/>
    <xf numFmtId="0" fontId="0" fillId="3" borderId="17" xfId="0" applyFont="1" applyFill="1" applyBorder="1"/>
    <xf numFmtId="0" fontId="0" fillId="0" borderId="17" xfId="0" applyFont="1" applyBorder="1"/>
    <xf numFmtId="0" fontId="0" fillId="0" borderId="19" xfId="0" applyFont="1" applyBorder="1"/>
    <xf numFmtId="164" fontId="0" fillId="0" borderId="19" xfId="0" applyNumberFormat="1" applyFont="1" applyBorder="1"/>
    <xf numFmtId="165" fontId="0" fillId="0" borderId="19" xfId="0" applyNumberFormat="1" applyFont="1" applyBorder="1"/>
    <xf numFmtId="165" fontId="0" fillId="0" borderId="18" xfId="0" applyNumberFormat="1" applyFill="1" applyBorder="1"/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Table Style 1" pivot="0" count="3">
      <tableStyleElement type="headerRow" dxfId="1"/>
      <tableStyleElement type="firstColumn" dxfId="0"/>
      <tableStyleElement type="firstColumnStripe" size="6"/>
    </tableStyle>
  </tableStyles>
  <colors>
    <mruColors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133349</xdr:rowOff>
    </xdr:from>
    <xdr:to>
      <xdr:col>9</xdr:col>
      <xdr:colOff>47625</xdr:colOff>
      <xdr:row>14</xdr:row>
      <xdr:rowOff>57150</xdr:rowOff>
    </xdr:to>
    <xdr:sp macro="" textlink="">
      <xdr:nvSpPr>
        <xdr:cNvPr id="2" name="TextBox 1"/>
        <xdr:cNvSpPr txBox="1"/>
      </xdr:nvSpPr>
      <xdr:spPr>
        <a:xfrm>
          <a:off x="800100" y="514349"/>
          <a:ext cx="47339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This worksheet contains fictional</a:t>
          </a:r>
          <a:r>
            <a:rPr lang="en-US" sz="1400" baseline="0"/>
            <a:t> sale data across 4 quarters.  The 4th quarter is still "in progress," so sales for the 4th quarter are forecasted based on the sales process stage and status. </a:t>
          </a:r>
        </a:p>
        <a:p>
          <a:endParaRPr lang="en-US" sz="1400" baseline="0"/>
        </a:p>
        <a:p>
          <a:r>
            <a:rPr lang="en-US" sz="1400" baseline="0"/>
            <a:t>The Basic Results worksheet shows sales and the closing by quarter.  The Sales Analyis, Pipeline, and Lead Source Profit Analysis worksheets take a deeper dive into the sales data. 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6" sqref="D16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I3" sqref="I3"/>
    </sheetView>
  </sheetViews>
  <sheetFormatPr defaultRowHeight="15"/>
  <cols>
    <col min="1" max="1" width="17.28515625" customWidth="1"/>
    <col min="2" max="2" width="11" bestFit="1" customWidth="1"/>
    <col min="3" max="3" width="12.42578125" bestFit="1" customWidth="1"/>
    <col min="4" max="5" width="11" bestFit="1" customWidth="1"/>
    <col min="6" max="6" width="12.42578125" bestFit="1" customWidth="1"/>
  </cols>
  <sheetData>
    <row r="1" spans="1:6" ht="21">
      <c r="A1" s="11"/>
      <c r="B1" s="95" t="s">
        <v>54</v>
      </c>
      <c r="C1" s="95"/>
      <c r="D1" s="95"/>
      <c r="E1" s="95"/>
      <c r="F1" s="11"/>
    </row>
    <row r="2" spans="1:6">
      <c r="A2" s="13" t="s">
        <v>32</v>
      </c>
      <c r="B2" s="27">
        <v>1</v>
      </c>
      <c r="C2" s="27">
        <v>2</v>
      </c>
      <c r="D2" s="27">
        <v>3</v>
      </c>
      <c r="E2" s="27">
        <v>4</v>
      </c>
      <c r="F2" s="28" t="s">
        <v>30</v>
      </c>
    </row>
    <row r="3" spans="1:6">
      <c r="A3" s="4" t="s">
        <v>31</v>
      </c>
      <c r="B3" s="5">
        <f>SUMIFS(TransactionsTotSale,TransactionsLeadSource,$A3,TransactionsQuarter,'Sales Analysis'!B$2)</f>
        <v>26000</v>
      </c>
      <c r="C3" s="5">
        <f>SUMIFS(TransactionsTotSale,TransactionsLeadSource,$A3,TransactionsQuarter,'Sales Analysis'!C$2)</f>
        <v>57000</v>
      </c>
      <c r="D3" s="5">
        <f>SUMIFS(TransactionsTotSale,TransactionsLeadSource,$A3,TransactionsQuarter,'Sales Analysis'!D$2)</f>
        <v>104000</v>
      </c>
      <c r="E3" s="5">
        <f>SUMIFS(TransactionsTotSale,TransactionsLeadSource,$A3,TransactionsQuarter,'Sales Analysis'!E$2)</f>
        <v>89924</v>
      </c>
      <c r="F3" s="49">
        <f>SUM(B3:E3)</f>
        <v>276924</v>
      </c>
    </row>
    <row r="4" spans="1:6">
      <c r="A4" s="4" t="s">
        <v>24</v>
      </c>
      <c r="B4" s="5">
        <f>SUMIFS(TransactionsTotSale,TransactionsLeadSource,$A4,TransactionsQuarter,'Sales Analysis'!B$2)</f>
        <v>674736</v>
      </c>
      <c r="C4" s="5">
        <f>SUMIFS(TransactionsTotSale,TransactionsLeadSource,$A4,TransactionsQuarter,'Sales Analysis'!C$2)</f>
        <v>366644</v>
      </c>
      <c r="D4" s="5">
        <f>SUMIFS(TransactionsTotSale,TransactionsLeadSource,$A4,TransactionsQuarter,'Sales Analysis'!D$2)</f>
        <v>13000</v>
      </c>
      <c r="E4" s="5">
        <f>SUMIFS(TransactionsTotSale,TransactionsLeadSource,$A4,TransactionsQuarter,'Sales Analysis'!E$2)</f>
        <v>275692.19999999995</v>
      </c>
      <c r="F4" s="49">
        <f>SUM(B4:E4)</f>
        <v>1330072.2</v>
      </c>
    </row>
    <row r="5" spans="1:6">
      <c r="A5" s="4" t="s">
        <v>25</v>
      </c>
      <c r="B5" s="5">
        <f>SUMIFS(TransactionsTotSale,TransactionsLeadSource,$A5,TransactionsQuarter,'Sales Analysis'!B$2)</f>
        <v>42592</v>
      </c>
      <c r="C5" s="5">
        <f>SUMIFS(TransactionsTotSale,TransactionsLeadSource,$A5,TransactionsQuarter,'Sales Analysis'!C$2)</f>
        <v>4000</v>
      </c>
      <c r="D5" s="5">
        <f>SUMIFS(TransactionsTotSale,TransactionsLeadSource,$A5,TransactionsQuarter,'Sales Analysis'!D$2)</f>
        <v>25500</v>
      </c>
      <c r="E5" s="5">
        <f>SUMIFS(TransactionsTotSale,TransactionsLeadSource,$A5,TransactionsQuarter,'Sales Analysis'!E$2)</f>
        <v>17025</v>
      </c>
      <c r="F5" s="49">
        <f>SUM(B5:E5)</f>
        <v>89117</v>
      </c>
    </row>
    <row r="6" spans="1:6">
      <c r="A6" s="4" t="s">
        <v>26</v>
      </c>
      <c r="B6" s="5">
        <f>SUMIFS(TransactionsTotSale,TransactionsLeadSource,$A6,TransactionsQuarter,'Sales Analysis'!B$2)</f>
        <v>106480</v>
      </c>
      <c r="C6" s="5">
        <f>SUMIFS(TransactionsTotSale,TransactionsLeadSource,$A6,TransactionsQuarter,'Sales Analysis'!C$2)</f>
        <v>425888</v>
      </c>
      <c r="D6" s="5">
        <f>SUMIFS(TransactionsTotSale,TransactionsLeadSource,$A6,TransactionsQuarter,'Sales Analysis'!D$2)</f>
        <v>130776</v>
      </c>
      <c r="E6" s="5">
        <f>SUMIFS(TransactionsTotSale,TransactionsLeadSource,$A6,TransactionsQuarter,'Sales Analysis'!E$2)</f>
        <v>195639.24</v>
      </c>
      <c r="F6" s="49">
        <f>SUM(B6:E6)</f>
        <v>858783.24</v>
      </c>
    </row>
    <row r="7" spans="1:6">
      <c r="A7" s="13" t="s">
        <v>30</v>
      </c>
      <c r="B7" s="32">
        <f>SUM(B3:B6)</f>
        <v>849808</v>
      </c>
      <c r="C7" s="32">
        <f>SUM(C3:C6)</f>
        <v>853532</v>
      </c>
      <c r="D7" s="32">
        <f>SUM(D3:D6)</f>
        <v>273276</v>
      </c>
      <c r="E7" s="32">
        <f>SUM(E3:E6)</f>
        <v>578280.43999999994</v>
      </c>
      <c r="F7" s="50">
        <f>SUM(F3:F6)</f>
        <v>2554896.44</v>
      </c>
    </row>
    <row r="9" spans="1:6" ht="21">
      <c r="A9" s="11"/>
      <c r="B9" s="95" t="s">
        <v>51</v>
      </c>
      <c r="C9" s="95"/>
      <c r="D9" s="95"/>
      <c r="E9" s="95"/>
      <c r="F9" s="11"/>
    </row>
    <row r="10" spans="1:6">
      <c r="A10" s="13" t="s">
        <v>32</v>
      </c>
      <c r="B10" s="27">
        <v>1</v>
      </c>
      <c r="C10" s="27">
        <v>2</v>
      </c>
      <c r="D10" s="27">
        <v>3</v>
      </c>
      <c r="E10" s="27">
        <v>4</v>
      </c>
      <c r="F10" s="28" t="s">
        <v>30</v>
      </c>
    </row>
    <row r="11" spans="1:6">
      <c r="A11" s="4" t="s">
        <v>31</v>
      </c>
      <c r="B11" s="5">
        <f>SUMIFS(TransactionsCGS,TransactionsLeadSource,$A11,TransactionsQuarter,'Sales Analysis'!B$2)</f>
        <v>5200</v>
      </c>
      <c r="C11" s="5">
        <f>SUMIFS(TransactionsCGS,TransactionsLeadSource,$A11,TransactionsQuarter,'Sales Analysis'!C$2)</f>
        <v>11400</v>
      </c>
      <c r="D11" s="5">
        <f>SUMIFS(TransactionsCGS,TransactionsLeadSource,$A11,TransactionsQuarter,'Sales Analysis'!D$2)</f>
        <v>20800</v>
      </c>
      <c r="E11" s="5">
        <f>SUMIFS(TransactionsCGS,TransactionsLeadSource,$A11,TransactionsQuarter,'Sales Analysis'!E$2)</f>
        <v>15670</v>
      </c>
      <c r="F11" s="49">
        <f>SUM(B11:E11)</f>
        <v>53070</v>
      </c>
    </row>
    <row r="12" spans="1:6">
      <c r="A12" s="4" t="s">
        <v>24</v>
      </c>
      <c r="B12" s="5">
        <f>SUMIFS(TransactionsCGS,TransactionsLeadSource,$A12,TransactionsQuarter,'Sales Analysis'!B$2)</f>
        <v>214600</v>
      </c>
      <c r="C12" s="5">
        <f>SUMIFS(TransactionsCGS,TransactionsLeadSource,$A12,TransactionsQuarter,'Sales Analysis'!C$2)</f>
        <v>173200</v>
      </c>
      <c r="D12" s="5">
        <f>SUMIFS(TransactionsCGS,TransactionsLeadSource,$A12,TransactionsQuarter,'Sales Analysis'!D$2)</f>
        <v>2600</v>
      </c>
      <c r="E12" s="5">
        <f>SUMIFS(TransactionsCGS,TransactionsLeadSource,$A12,TransactionsQuarter,'Sales Analysis'!E$2)</f>
        <v>50108</v>
      </c>
      <c r="F12" s="49">
        <f>SUM(B12:E12)</f>
        <v>440508</v>
      </c>
    </row>
    <row r="13" spans="1:6">
      <c r="A13" s="4" t="s">
        <v>25</v>
      </c>
      <c r="B13" s="5">
        <f>SUMIFS(TransactionsCGS,TransactionsLeadSource,$A13,TransactionsQuarter,'Sales Analysis'!B$2)</f>
        <v>24000</v>
      </c>
      <c r="C13" s="5">
        <f>SUMIFS(TransactionsCGS,TransactionsLeadSource,$A13,TransactionsQuarter,'Sales Analysis'!C$2)</f>
        <v>800</v>
      </c>
      <c r="D13" s="5">
        <f>SUMIFS(TransactionsCGS,TransactionsLeadSource,$A13,TransactionsQuarter,'Sales Analysis'!D$2)</f>
        <v>6400</v>
      </c>
      <c r="E13" s="5">
        <f>SUMIFS(TransactionsCGS,TransactionsLeadSource,$A13,TransactionsQuarter,'Sales Analysis'!E$2)</f>
        <v>4170</v>
      </c>
      <c r="F13" s="49">
        <f>SUM(B13:E13)</f>
        <v>35370</v>
      </c>
    </row>
    <row r="14" spans="1:6">
      <c r="A14" s="4" t="s">
        <v>26</v>
      </c>
      <c r="B14" s="5">
        <f>SUMIFS(TransactionsCGS,TransactionsLeadSource,$A14,TransactionsQuarter,'Sales Analysis'!B$2)</f>
        <v>60000</v>
      </c>
      <c r="C14" s="5">
        <f>SUMIFS(TransactionsCGS,TransactionsLeadSource,$A14,TransactionsQuarter,'Sales Analysis'!C$2)</f>
        <v>58000</v>
      </c>
      <c r="D14" s="5">
        <f>SUMIFS(TransactionsCGS,TransactionsLeadSource,$A14,TransactionsQuarter,'Sales Analysis'!D$2)</f>
        <v>72800</v>
      </c>
      <c r="E14" s="5">
        <f>SUMIFS(TransactionsCGS,TransactionsLeadSource,$A14,TransactionsQuarter,'Sales Analysis'!E$2)</f>
        <v>34340</v>
      </c>
      <c r="F14" s="49">
        <f>SUM(B14:E14)</f>
        <v>225140</v>
      </c>
    </row>
    <row r="15" spans="1:6">
      <c r="A15" s="13" t="s">
        <v>30</v>
      </c>
      <c r="B15" s="32">
        <f>SUM(B11:B14)</f>
        <v>303800</v>
      </c>
      <c r="C15" s="32">
        <f>SUM(C11:C14)</f>
        <v>243400</v>
      </c>
      <c r="D15" s="32">
        <f>SUM(D11:D14)</f>
        <v>102600</v>
      </c>
      <c r="E15" s="32">
        <f>SUM(E11:E14)</f>
        <v>104288</v>
      </c>
      <c r="F15" s="50">
        <f>SUM(F11:F14)</f>
        <v>754088</v>
      </c>
    </row>
    <row r="16" spans="1:6" s="11" customFormat="1">
      <c r="A16" s="13"/>
      <c r="B16" s="51"/>
      <c r="C16" s="51"/>
      <c r="D16" s="51"/>
      <c r="E16" s="51"/>
      <c r="F16" s="51"/>
    </row>
    <row r="17" spans="1:11" s="11" customFormat="1" ht="21">
      <c r="B17" s="95" t="s">
        <v>55</v>
      </c>
      <c r="C17" s="95"/>
      <c r="D17" s="95"/>
      <c r="E17" s="95"/>
    </row>
    <row r="18" spans="1:11" s="11" customFormat="1">
      <c r="A18" s="13" t="s">
        <v>32</v>
      </c>
      <c r="B18" s="27">
        <v>1</v>
      </c>
      <c r="C18" s="27">
        <v>2</v>
      </c>
      <c r="D18" s="27">
        <v>3</v>
      </c>
      <c r="E18" s="27">
        <v>4</v>
      </c>
      <c r="F18" s="28" t="s">
        <v>30</v>
      </c>
    </row>
    <row r="19" spans="1:11" s="11" customFormat="1">
      <c r="A19" s="4" t="s">
        <v>31</v>
      </c>
      <c r="B19" s="5">
        <f>SUMIFS(TransactionsComm,TransactionsLeadSource,$A19,TransactionsQuarter,'Sales Analysis'!B$2)</f>
        <v>1300</v>
      </c>
      <c r="C19" s="5">
        <f>SUMIFS(TransactionsComm,TransactionsLeadSource,$A19,TransactionsQuarter,'Sales Analysis'!C$2)</f>
        <v>2850</v>
      </c>
      <c r="D19" s="5">
        <f>SUMIFS(TransactionsComm,TransactionsLeadSource,$A19,TransactionsQuarter,'Sales Analysis'!D$2)</f>
        <v>5200</v>
      </c>
      <c r="E19" s="5">
        <f>SUMIFS(TransactionsComm,TransactionsLeadSource,$A19,TransactionsQuarter,'Sales Analysis'!E$2)</f>
        <v>7312.4</v>
      </c>
      <c r="F19" s="49">
        <f>SUM(B19:E19)</f>
        <v>16662.400000000001</v>
      </c>
    </row>
    <row r="20" spans="1:11" s="11" customFormat="1">
      <c r="A20" s="4" t="s">
        <v>24</v>
      </c>
      <c r="B20" s="5">
        <f>SUMIFS(TransactionsComm,TransactionsLeadSource,$A20,TransactionsQuarter,'Sales Analysis'!B$2)</f>
        <v>50773.600000000006</v>
      </c>
      <c r="C20" s="5">
        <f>SUMIFS(TransactionsComm,TransactionsLeadSource,$A20,TransactionsQuarter,'Sales Analysis'!C$2)</f>
        <v>33239.4</v>
      </c>
      <c r="D20" s="5">
        <f>SUMIFS(TransactionsComm,TransactionsLeadSource,$A20,TransactionsQuarter,'Sales Analysis'!D$2)</f>
        <v>650</v>
      </c>
      <c r="E20" s="5">
        <f>SUMIFS(TransactionsComm,TransactionsLeadSource,$A20,TransactionsQuarter,'Sales Analysis'!E$2)</f>
        <v>17191.97</v>
      </c>
      <c r="F20" s="49">
        <f>SUM(B20:E20)</f>
        <v>101854.97</v>
      </c>
    </row>
    <row r="21" spans="1:11" s="11" customFormat="1">
      <c r="A21" s="4" t="s">
        <v>25</v>
      </c>
      <c r="B21" s="5">
        <f>SUMIFS(TransactionsComm,TransactionsLeadSource,$A21,TransactionsQuarter,'Sales Analysis'!B$2)</f>
        <v>4259.2</v>
      </c>
      <c r="C21" s="5">
        <f>SUMIFS(TransactionsComm,TransactionsLeadSource,$A21,TransactionsQuarter,'Sales Analysis'!C$2)</f>
        <v>200</v>
      </c>
      <c r="D21" s="5">
        <f>SUMIFS(TransactionsComm,TransactionsLeadSource,$A21,TransactionsQuarter,'Sales Analysis'!D$2)</f>
        <v>3225</v>
      </c>
      <c r="E21" s="5">
        <f>SUMIFS(TransactionsComm,TransactionsLeadSource,$A21,TransactionsQuarter,'Sales Analysis'!E$2)</f>
        <v>2381.25</v>
      </c>
      <c r="F21" s="49">
        <f>SUM(B21:E21)</f>
        <v>10065.450000000001</v>
      </c>
    </row>
    <row r="22" spans="1:11" s="11" customFormat="1">
      <c r="A22" s="4" t="s">
        <v>26</v>
      </c>
      <c r="B22" s="5">
        <f>SUMIFS(TransactionsComm,TransactionsLeadSource,$A22,TransactionsQuarter,'Sales Analysis'!B$2)</f>
        <v>10648</v>
      </c>
      <c r="C22" s="5">
        <f>SUMIFS(TransactionsComm,TransactionsLeadSource,$A22,TransactionsQuarter,'Sales Analysis'!C$2)</f>
        <v>25388.799999999999</v>
      </c>
      <c r="D22" s="5">
        <f>SUMIFS(TransactionsComm,TransactionsLeadSource,$A22,TransactionsQuarter,'Sales Analysis'!D$2)</f>
        <v>13227.6</v>
      </c>
      <c r="E22" s="5">
        <f>SUMIFS(TransactionsComm,TransactionsLeadSource,$A22,TransactionsQuarter,'Sales Analysis'!E$2)</f>
        <v>13250.173999999999</v>
      </c>
      <c r="F22" s="49">
        <f>SUM(B22:E22)</f>
        <v>62514.574000000001</v>
      </c>
    </row>
    <row r="23" spans="1:11" s="11" customFormat="1">
      <c r="A23" s="13" t="s">
        <v>30</v>
      </c>
      <c r="B23" s="32">
        <f>SUM(B19:B22)</f>
        <v>66980.800000000003</v>
      </c>
      <c r="C23" s="32">
        <f>SUM(C19:C22)</f>
        <v>61678.2</v>
      </c>
      <c r="D23" s="32">
        <f>SUM(D19:D22)</f>
        <v>22302.6</v>
      </c>
      <c r="E23" s="32">
        <f>SUM(E19:E22)</f>
        <v>40135.794000000002</v>
      </c>
      <c r="F23" s="50">
        <f>SUM(F19:F22)</f>
        <v>191097.394</v>
      </c>
    </row>
    <row r="24" spans="1:11" s="11" customFormat="1">
      <c r="A24" s="13"/>
      <c r="B24" s="51"/>
      <c r="C24" s="51"/>
      <c r="D24" s="51"/>
      <c r="E24" s="51"/>
      <c r="F24" s="51"/>
    </row>
    <row r="25" spans="1:11" ht="21">
      <c r="A25" s="24"/>
      <c r="B25" s="25" t="s">
        <v>52</v>
      </c>
      <c r="C25" s="25"/>
      <c r="D25" s="25"/>
      <c r="E25" s="25"/>
      <c r="F25" s="11"/>
    </row>
    <row r="26" spans="1:11">
      <c r="A26" s="13" t="s">
        <v>32</v>
      </c>
      <c r="B26" s="27">
        <v>1</v>
      </c>
      <c r="C26" s="27">
        <v>2</v>
      </c>
      <c r="D26" s="27">
        <v>3</v>
      </c>
      <c r="E26" s="27">
        <v>4</v>
      </c>
      <c r="F26" s="28" t="s">
        <v>30</v>
      </c>
    </row>
    <row r="27" spans="1:11">
      <c r="A27" s="4" t="s">
        <v>31</v>
      </c>
      <c r="B27" s="5">
        <f t="shared" ref="B27:E30" si="0">SUMIFS(TransactionsAllocatedLeadCost,TransactionsLeadSource,$A27,TransactionsQuarter,B$26)</f>
        <v>75000</v>
      </c>
      <c r="C27" s="5">
        <f t="shared" si="0"/>
        <v>50000</v>
      </c>
      <c r="D27" s="5">
        <f t="shared" si="0"/>
        <v>50000</v>
      </c>
      <c r="E27" s="5">
        <f t="shared" si="0"/>
        <v>50000</v>
      </c>
      <c r="F27" s="49">
        <f>SUM(B27:E27)</f>
        <v>225000</v>
      </c>
      <c r="I27" s="11"/>
      <c r="J27" s="11"/>
      <c r="K27" s="11"/>
    </row>
    <row r="28" spans="1:11">
      <c r="A28" s="4" t="s">
        <v>24</v>
      </c>
      <c r="B28" s="5">
        <f t="shared" si="0"/>
        <v>100000</v>
      </c>
      <c r="C28" s="5">
        <f t="shared" si="0"/>
        <v>75000</v>
      </c>
      <c r="D28" s="5">
        <f t="shared" si="0"/>
        <v>50000</v>
      </c>
      <c r="E28" s="5">
        <f t="shared" si="0"/>
        <v>75000</v>
      </c>
      <c r="F28" s="49">
        <f>SUM(B28:E28)</f>
        <v>300000</v>
      </c>
      <c r="H28" s="11"/>
      <c r="I28" s="11"/>
      <c r="J28" s="11"/>
      <c r="K28" s="11"/>
    </row>
    <row r="29" spans="1:11">
      <c r="A29" s="4" t="s">
        <v>25</v>
      </c>
      <c r="B29" s="5">
        <f t="shared" si="0"/>
        <v>120000</v>
      </c>
      <c r="C29" s="5">
        <f t="shared" si="0"/>
        <v>120000</v>
      </c>
      <c r="D29" s="5">
        <f t="shared" si="0"/>
        <v>120000.00000000003</v>
      </c>
      <c r="E29" s="5">
        <f t="shared" si="0"/>
        <v>120000</v>
      </c>
      <c r="F29" s="49">
        <f>SUM(B29:E29)</f>
        <v>480000</v>
      </c>
      <c r="H29" s="11"/>
      <c r="I29" s="11"/>
      <c r="J29" s="11"/>
      <c r="K29" s="11"/>
    </row>
    <row r="30" spans="1:11">
      <c r="A30" s="4" t="s">
        <v>26</v>
      </c>
      <c r="B30" s="5">
        <f t="shared" si="0"/>
        <v>30000</v>
      </c>
      <c r="C30" s="5">
        <f t="shared" si="0"/>
        <v>30000.000000000004</v>
      </c>
      <c r="D30" s="5">
        <f t="shared" si="0"/>
        <v>30000</v>
      </c>
      <c r="E30" s="5">
        <f t="shared" si="0"/>
        <v>30000</v>
      </c>
      <c r="F30" s="49">
        <f>SUM(B30:E30)</f>
        <v>120000</v>
      </c>
      <c r="H30" s="11"/>
      <c r="I30" s="11"/>
      <c r="J30" s="11"/>
      <c r="K30" s="11"/>
    </row>
    <row r="31" spans="1:11">
      <c r="A31" s="13" t="s">
        <v>30</v>
      </c>
      <c r="B31" s="32">
        <f>SUM(B27:B30)</f>
        <v>325000</v>
      </c>
      <c r="C31" s="32">
        <f>SUM(C27:C30)</f>
        <v>275000</v>
      </c>
      <c r="D31" s="32">
        <f>SUM(D27:D30)</f>
        <v>250000.00000000003</v>
      </c>
      <c r="E31" s="32">
        <f>SUM(E27:E30)</f>
        <v>275000</v>
      </c>
      <c r="F31" s="50">
        <f>SUM(F27:F30)</f>
        <v>1125000</v>
      </c>
    </row>
    <row r="33" spans="1:6" ht="21">
      <c r="A33" s="11"/>
      <c r="B33" s="20" t="s">
        <v>45</v>
      </c>
      <c r="C33" s="20"/>
      <c r="D33" s="20"/>
      <c r="E33" s="20"/>
      <c r="F33" s="11"/>
    </row>
    <row r="34" spans="1:6">
      <c r="A34" s="13" t="s">
        <v>32</v>
      </c>
      <c r="B34" s="27">
        <v>1</v>
      </c>
      <c r="C34" s="27">
        <v>2</v>
      </c>
      <c r="D34" s="27">
        <v>3</v>
      </c>
      <c r="E34" s="27">
        <v>4</v>
      </c>
      <c r="F34" s="28" t="s">
        <v>30</v>
      </c>
    </row>
    <row r="35" spans="1:6">
      <c r="A35" s="4" t="s">
        <v>31</v>
      </c>
      <c r="B35" s="5">
        <f t="shared" ref="B35:E38" si="1">SUMIFS(TransactionsForecastedNetProfit,TransactionsLeadSource,$A35,TransactionsQuarter,B$26)</f>
        <v>-55500</v>
      </c>
      <c r="C35" s="5">
        <f t="shared" si="1"/>
        <v>-7250</v>
      </c>
      <c r="D35" s="5">
        <f t="shared" si="1"/>
        <v>28000</v>
      </c>
      <c r="E35" s="5">
        <f t="shared" si="1"/>
        <v>16941.599999999999</v>
      </c>
      <c r="F35" s="49">
        <f>SUM(B35:E35)</f>
        <v>-17808.400000000001</v>
      </c>
    </row>
    <row r="36" spans="1:6">
      <c r="A36" s="4" t="s">
        <v>24</v>
      </c>
      <c r="B36" s="5">
        <f t="shared" si="1"/>
        <v>309362.40000000002</v>
      </c>
      <c r="C36" s="5">
        <f t="shared" si="1"/>
        <v>85204.599999999991</v>
      </c>
      <c r="D36" s="5">
        <f t="shared" si="1"/>
        <v>-40250</v>
      </c>
      <c r="E36" s="5">
        <f t="shared" si="1"/>
        <v>133392.22999999998</v>
      </c>
      <c r="F36" s="49">
        <f>SUM(B36:E36)</f>
        <v>487709.23</v>
      </c>
    </row>
    <row r="37" spans="1:6">
      <c r="A37" s="4" t="s">
        <v>25</v>
      </c>
      <c r="B37" s="5">
        <f t="shared" si="1"/>
        <v>-105667.2</v>
      </c>
      <c r="C37" s="5">
        <f t="shared" si="1"/>
        <v>-117000</v>
      </c>
      <c r="D37" s="5">
        <f t="shared" si="1"/>
        <v>-104125.00000000003</v>
      </c>
      <c r="E37" s="5">
        <f t="shared" si="1"/>
        <v>-109526.25</v>
      </c>
      <c r="F37" s="49">
        <f>SUM(B37:E37)</f>
        <v>-436318.45000000007</v>
      </c>
    </row>
    <row r="38" spans="1:6">
      <c r="A38" s="4" t="s">
        <v>26</v>
      </c>
      <c r="B38" s="5">
        <f t="shared" si="1"/>
        <v>5832</v>
      </c>
      <c r="C38" s="5">
        <f t="shared" si="1"/>
        <v>312499.20000000001</v>
      </c>
      <c r="D38" s="5">
        <f t="shared" si="1"/>
        <v>14748.399999999994</v>
      </c>
      <c r="E38" s="5">
        <f t="shared" si="1"/>
        <v>118049.06599999999</v>
      </c>
      <c r="F38" s="49">
        <f>SUM(B38:E38)</f>
        <v>451128.66599999997</v>
      </c>
    </row>
    <row r="39" spans="1:6">
      <c r="A39" s="13" t="s">
        <v>30</v>
      </c>
      <c r="B39" s="32">
        <f>SUM(B35:B38)</f>
        <v>154027.20000000001</v>
      </c>
      <c r="C39" s="32">
        <f>SUM(C35:C38)</f>
        <v>273453.8</v>
      </c>
      <c r="D39" s="32">
        <f>SUM(D35:D38)</f>
        <v>-101626.60000000003</v>
      </c>
      <c r="E39" s="32">
        <f>SUM(E35:E38)</f>
        <v>158856.64599999998</v>
      </c>
      <c r="F39" s="50">
        <f>SUM(F35:F38)</f>
        <v>484711.04599999986</v>
      </c>
    </row>
  </sheetData>
  <mergeCells count="3">
    <mergeCell ref="B1:E1"/>
    <mergeCell ref="B9:E9"/>
    <mergeCell ref="B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"/>
  <sheetViews>
    <sheetView zoomScaleNormal="100" workbookViewId="0">
      <selection activeCell="E11" sqref="E11"/>
    </sheetView>
  </sheetViews>
  <sheetFormatPr defaultRowHeight="15"/>
  <cols>
    <col min="1" max="1" width="14.7109375" customWidth="1"/>
    <col min="2" max="2" width="32.7109375" customWidth="1"/>
    <col min="4" max="4" width="11.140625" customWidth="1"/>
    <col min="5" max="5" width="18.42578125" customWidth="1"/>
  </cols>
  <sheetData>
    <row r="1" spans="1:5">
      <c r="A1" s="82" t="s">
        <v>5</v>
      </c>
      <c r="B1" s="83" t="s">
        <v>6</v>
      </c>
      <c r="C1" s="83" t="s">
        <v>1</v>
      </c>
      <c r="D1" s="83" t="s">
        <v>64</v>
      </c>
      <c r="E1" s="84" t="s">
        <v>7</v>
      </c>
    </row>
    <row r="2" spans="1:5">
      <c r="A2" s="74" t="s">
        <v>15</v>
      </c>
      <c r="B2" s="75" t="s">
        <v>63</v>
      </c>
      <c r="C2" s="76">
        <v>11500</v>
      </c>
      <c r="D2" s="76">
        <v>600</v>
      </c>
      <c r="E2" s="85">
        <v>0.05</v>
      </c>
    </row>
    <row r="3" spans="1:5">
      <c r="A3" s="78" t="s">
        <v>16</v>
      </c>
      <c r="B3" s="79" t="s">
        <v>33</v>
      </c>
      <c r="C3" s="80">
        <v>1500</v>
      </c>
      <c r="D3" s="80">
        <v>400</v>
      </c>
      <c r="E3" s="86">
        <v>0.15</v>
      </c>
    </row>
    <row r="4" spans="1:5">
      <c r="A4" s="74" t="s">
        <v>17</v>
      </c>
      <c r="B4" s="75" t="s">
        <v>34</v>
      </c>
      <c r="C4" s="76">
        <v>1000</v>
      </c>
      <c r="D4" s="76">
        <v>200</v>
      </c>
      <c r="E4" s="85">
        <v>0.05</v>
      </c>
    </row>
    <row r="5" spans="1:5">
      <c r="A5" s="66" t="s">
        <v>18</v>
      </c>
      <c r="B5" s="67" t="s">
        <v>35</v>
      </c>
      <c r="C5" s="68">
        <v>21296</v>
      </c>
      <c r="D5" s="68">
        <v>12000</v>
      </c>
      <c r="E5" s="69">
        <v>0.1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zoomScaleNormal="100" workbookViewId="0">
      <selection sqref="A1:F5"/>
    </sheetView>
  </sheetViews>
  <sheetFormatPr defaultRowHeight="15"/>
  <cols>
    <col min="1" max="1" width="16" customWidth="1"/>
    <col min="2" max="2" width="11.140625" customWidth="1"/>
    <col min="3" max="3" width="14.42578125" customWidth="1"/>
    <col min="9" max="9" width="9.85546875" bestFit="1" customWidth="1"/>
  </cols>
  <sheetData>
    <row r="1" spans="1:9">
      <c r="A1" s="71" t="s">
        <v>19</v>
      </c>
      <c r="B1" s="72" t="s">
        <v>4</v>
      </c>
      <c r="C1" s="72" t="s">
        <v>41</v>
      </c>
      <c r="D1" s="72" t="s">
        <v>42</v>
      </c>
      <c r="E1" s="72" t="s">
        <v>43</v>
      </c>
      <c r="F1" s="73" t="s">
        <v>44</v>
      </c>
    </row>
    <row r="2" spans="1:9">
      <c r="A2" s="74" t="s">
        <v>20</v>
      </c>
      <c r="B2" s="75" t="s">
        <v>31</v>
      </c>
      <c r="C2" s="76">
        <v>75000</v>
      </c>
      <c r="D2" s="76">
        <v>50000</v>
      </c>
      <c r="E2" s="76">
        <v>50000</v>
      </c>
      <c r="F2" s="77">
        <v>50000</v>
      </c>
    </row>
    <row r="3" spans="1:9">
      <c r="A3" s="78" t="s">
        <v>21</v>
      </c>
      <c r="B3" s="79" t="s">
        <v>24</v>
      </c>
      <c r="C3" s="80">
        <v>100000</v>
      </c>
      <c r="D3" s="80">
        <v>75000</v>
      </c>
      <c r="E3" s="80">
        <v>50000</v>
      </c>
      <c r="F3" s="81">
        <v>75000</v>
      </c>
    </row>
    <row r="4" spans="1:9">
      <c r="A4" s="74" t="s">
        <v>22</v>
      </c>
      <c r="B4" s="75" t="s">
        <v>25</v>
      </c>
      <c r="C4" s="76">
        <v>120000</v>
      </c>
      <c r="D4" s="76">
        <v>120000</v>
      </c>
      <c r="E4" s="76">
        <v>120000</v>
      </c>
      <c r="F4" s="77">
        <v>120000</v>
      </c>
    </row>
    <row r="5" spans="1:9">
      <c r="A5" s="66" t="s">
        <v>23</v>
      </c>
      <c r="B5" s="67" t="s">
        <v>26</v>
      </c>
      <c r="C5" s="68">
        <v>30000</v>
      </c>
      <c r="D5" s="68">
        <v>30000</v>
      </c>
      <c r="E5" s="68">
        <v>30000</v>
      </c>
      <c r="F5" s="70">
        <v>30000</v>
      </c>
    </row>
    <row r="7" spans="1:9">
      <c r="I7" s="5"/>
    </row>
    <row r="8" spans="1:9">
      <c r="I8" s="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zoomScaleNormal="100" workbookViewId="0">
      <selection activeCell="G12" sqref="G12"/>
    </sheetView>
  </sheetViews>
  <sheetFormatPr defaultRowHeight="15"/>
  <cols>
    <col min="1" max="1" width="10.140625" customWidth="1"/>
    <col min="2" max="2" width="19.140625" customWidth="1"/>
    <col min="3" max="3" width="12.85546875" customWidth="1"/>
  </cols>
  <sheetData>
    <row r="1" spans="1:3">
      <c r="A1" s="82" t="s">
        <v>8</v>
      </c>
      <c r="B1" s="83" t="s">
        <v>2</v>
      </c>
      <c r="C1" s="84" t="s">
        <v>13</v>
      </c>
    </row>
    <row r="2" spans="1:3">
      <c r="A2" s="74">
        <v>1</v>
      </c>
      <c r="B2" s="75" t="s">
        <v>46</v>
      </c>
      <c r="C2" s="89">
        <v>0.05</v>
      </c>
    </row>
    <row r="3" spans="1:3">
      <c r="A3" s="78">
        <v>2</v>
      </c>
      <c r="B3" s="79" t="s">
        <v>47</v>
      </c>
      <c r="C3" s="90">
        <v>0.25</v>
      </c>
    </row>
    <row r="4" spans="1:3">
      <c r="A4" s="74">
        <v>3</v>
      </c>
      <c r="B4" s="75" t="s">
        <v>58</v>
      </c>
      <c r="C4" s="89">
        <v>0.5</v>
      </c>
    </row>
    <row r="5" spans="1:3">
      <c r="A5" s="78">
        <v>4</v>
      </c>
      <c r="B5" s="79" t="s">
        <v>48</v>
      </c>
      <c r="C5" s="90">
        <v>0.85</v>
      </c>
    </row>
    <row r="6" spans="1:3">
      <c r="A6" s="74">
        <v>5</v>
      </c>
      <c r="B6" s="75" t="s">
        <v>49</v>
      </c>
      <c r="C6" s="89">
        <v>0.97</v>
      </c>
    </row>
    <row r="7" spans="1:3">
      <c r="A7" s="66">
        <v>6</v>
      </c>
      <c r="B7" s="67" t="s">
        <v>50</v>
      </c>
      <c r="C7" s="88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H15" sqref="H15"/>
    </sheetView>
  </sheetViews>
  <sheetFormatPr defaultRowHeight="15"/>
  <cols>
    <col min="1" max="1" width="10.7109375" customWidth="1"/>
  </cols>
  <sheetData>
    <row r="1" spans="1:2">
      <c r="A1" s="82" t="s">
        <v>12</v>
      </c>
      <c r="B1" s="84" t="s">
        <v>3</v>
      </c>
    </row>
    <row r="2" spans="1:2">
      <c r="A2" s="74">
        <v>1</v>
      </c>
      <c r="B2" s="89" t="s">
        <v>9</v>
      </c>
    </row>
    <row r="3" spans="1:2">
      <c r="A3" s="78">
        <v>2</v>
      </c>
      <c r="B3" s="90" t="s">
        <v>10</v>
      </c>
    </row>
    <row r="4" spans="1:2">
      <c r="A4" s="65">
        <v>3</v>
      </c>
      <c r="B4" s="87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03"/>
  <sheetViews>
    <sheetView zoomScale="110" zoomScaleNormal="110" workbookViewId="0">
      <pane xSplit="1" ySplit="1" topLeftCell="F2" activePane="bottomRight" state="frozen"/>
      <selection sqref="A1:C7"/>
      <selection pane="topRight" sqref="A1:C7"/>
      <selection pane="bottomLeft" sqref="A1:C7"/>
      <selection pane="bottomRight" activeCell="Q8" sqref="Q8"/>
    </sheetView>
  </sheetViews>
  <sheetFormatPr defaultRowHeight="15"/>
  <cols>
    <col min="1" max="1" width="13.28515625" customWidth="1"/>
    <col min="2" max="2" width="9.28515625" customWidth="1"/>
    <col min="3" max="3" width="16.28515625" customWidth="1"/>
    <col min="4" max="4" width="16.140625" customWidth="1"/>
    <col min="5" max="5" width="10" customWidth="1"/>
    <col min="6" max="6" width="20.28515625" customWidth="1"/>
    <col min="7" max="7" width="9.5703125" customWidth="1"/>
    <col min="8" max="8" width="28.7109375" style="11" customWidth="1"/>
    <col min="9" max="9" width="10" bestFit="1" customWidth="1"/>
    <col min="11" max="11" width="12" customWidth="1"/>
    <col min="12" max="12" width="13" customWidth="1"/>
    <col min="13" max="13" width="14.140625" customWidth="1"/>
    <col min="14" max="14" width="15.5703125" bestFit="1" customWidth="1"/>
    <col min="15" max="15" width="15.5703125" style="11" customWidth="1"/>
    <col min="16" max="16" width="14.5703125" customWidth="1"/>
    <col min="17" max="17" width="11" customWidth="1"/>
    <col min="18" max="18" width="8" customWidth="1"/>
    <col min="19" max="20" width="15.5703125" customWidth="1"/>
    <col min="21" max="23" width="3" customWidth="1"/>
    <col min="24" max="24" width="10.7109375" customWidth="1"/>
    <col min="25" max="25" width="10.5703125" bestFit="1" customWidth="1"/>
    <col min="26" max="26" width="5.5703125" customWidth="1"/>
    <col min="27" max="27" width="6.7109375" customWidth="1"/>
    <col min="28" max="28" width="11" bestFit="1" customWidth="1"/>
    <col min="29" max="29" width="10.5703125" bestFit="1" customWidth="1"/>
    <col min="30" max="30" width="5.5703125" customWidth="1"/>
    <col min="31" max="31" width="6.7109375" customWidth="1"/>
    <col min="32" max="32" width="11" bestFit="1" customWidth="1"/>
    <col min="33" max="33" width="10.5703125" bestFit="1" customWidth="1"/>
    <col min="34" max="34" width="5.5703125" customWidth="1"/>
    <col min="35" max="35" width="6.7109375" customWidth="1"/>
    <col min="36" max="36" width="10.7109375" bestFit="1" customWidth="1"/>
  </cols>
  <sheetData>
    <row r="1" spans="1:24" ht="30">
      <c r="A1" s="52" t="s">
        <v>14</v>
      </c>
      <c r="B1" s="52" t="s">
        <v>36</v>
      </c>
      <c r="C1" s="52" t="s">
        <v>28</v>
      </c>
      <c r="D1" s="52" t="s">
        <v>2</v>
      </c>
      <c r="E1" s="52" t="s">
        <v>29</v>
      </c>
      <c r="F1" s="52" t="s">
        <v>3</v>
      </c>
      <c r="G1" s="52" t="s">
        <v>0</v>
      </c>
      <c r="H1" s="52" t="s">
        <v>6</v>
      </c>
      <c r="I1" s="52" t="s">
        <v>1</v>
      </c>
      <c r="J1" s="52" t="s">
        <v>27</v>
      </c>
      <c r="K1" s="52" t="s">
        <v>13</v>
      </c>
      <c r="L1" s="52" t="s">
        <v>37</v>
      </c>
      <c r="M1" s="52" t="s">
        <v>38</v>
      </c>
      <c r="N1" s="52" t="s">
        <v>39</v>
      </c>
      <c r="O1" s="53" t="s">
        <v>40</v>
      </c>
      <c r="P1" s="53" t="s">
        <v>56</v>
      </c>
      <c r="Q1" s="53" t="s">
        <v>57</v>
      </c>
    </row>
    <row r="2" spans="1:24">
      <c r="A2" s="17">
        <v>1001</v>
      </c>
      <c r="B2" s="17">
        <v>2</v>
      </c>
      <c r="C2" s="17" t="s">
        <v>31</v>
      </c>
      <c r="D2" s="17" t="s">
        <v>46</v>
      </c>
      <c r="E2" s="17">
        <v>1</v>
      </c>
      <c r="F2" s="17" t="s">
        <v>11</v>
      </c>
      <c r="G2" s="17" t="s">
        <v>16</v>
      </c>
      <c r="H2" s="17" t="str">
        <f t="shared" ref="H2:H65" si="0">LOOKUP($G2,ProductProdID,ProductProdName)</f>
        <v>Centurion Mezzle Spark Igniter</v>
      </c>
      <c r="I2" s="55">
        <f t="shared" ref="I2:I65" si="1">INDEX(ProductPrice,MATCH($G2,ProductProdID,0))</f>
        <v>1500</v>
      </c>
      <c r="J2" s="17">
        <v>3</v>
      </c>
      <c r="K2" s="17">
        <f t="shared" ref="K2:K65" si="2">IF(F2=StatusLose,0,INDEX(ProcessStageProb,MATCH($D2,ProcessStageName,0)))</f>
        <v>0</v>
      </c>
      <c r="L2" s="18">
        <f t="shared" ref="L2:L65" si="3">I2*J2*K2</f>
        <v>0</v>
      </c>
      <c r="M2" s="55">
        <f t="shared" ref="M2:M65" si="4">INDEX(ProductCommRate,MATCH($G2,ProductProdID,0))*$L2</f>
        <v>0</v>
      </c>
      <c r="N2" s="55">
        <f t="shared" ref="N2:N65" si="5">INDEX(ProductUnitCost,MATCH($G2,ProductProdID,0))*$J2*$K2</f>
        <v>0</v>
      </c>
      <c r="O2" s="55">
        <f t="shared" ref="O2:O65" si="6">L2-M2-N2</f>
        <v>0</v>
      </c>
      <c r="P2" s="55">
        <f t="shared" ref="P2:P65" si="7">VLOOKUP(C2,LeadSourceTable,(B2+1),FALSE)/COUNTIFS(TransactionsQuarter,B2,TransactionsLeadSource,C2)</f>
        <v>2500</v>
      </c>
      <c r="Q2" s="94">
        <f t="shared" ref="Q2:Q65" si="8">L2-M2-N2-P2</f>
        <v>-2500</v>
      </c>
      <c r="S2" s="6"/>
    </row>
    <row r="3" spans="1:24">
      <c r="A3" s="17">
        <v>1001</v>
      </c>
      <c r="B3" s="17">
        <v>3</v>
      </c>
      <c r="C3" s="17" t="s">
        <v>31</v>
      </c>
      <c r="D3" s="17" t="s">
        <v>47</v>
      </c>
      <c r="E3" s="17">
        <v>1</v>
      </c>
      <c r="F3" s="17" t="s">
        <v>11</v>
      </c>
      <c r="G3" s="17" t="s">
        <v>16</v>
      </c>
      <c r="H3" s="17" t="str">
        <f t="shared" si="0"/>
        <v>Centurion Mezzle Spark Igniter</v>
      </c>
      <c r="I3" s="55">
        <f t="shared" si="1"/>
        <v>1500</v>
      </c>
      <c r="J3" s="17">
        <v>6</v>
      </c>
      <c r="K3" s="17">
        <f t="shared" si="2"/>
        <v>0</v>
      </c>
      <c r="L3" s="18">
        <f t="shared" si="3"/>
        <v>0</v>
      </c>
      <c r="M3" s="55">
        <f t="shared" si="4"/>
        <v>0</v>
      </c>
      <c r="N3" s="55">
        <f t="shared" si="5"/>
        <v>0</v>
      </c>
      <c r="O3" s="55">
        <f t="shared" si="6"/>
        <v>0</v>
      </c>
      <c r="P3" s="55">
        <f t="shared" si="7"/>
        <v>2000</v>
      </c>
      <c r="Q3" s="94">
        <f t="shared" si="8"/>
        <v>-2000</v>
      </c>
    </row>
    <row r="4" spans="1:24">
      <c r="A4" s="17">
        <v>1001</v>
      </c>
      <c r="B4" s="17">
        <v>4</v>
      </c>
      <c r="C4" s="17" t="s">
        <v>31</v>
      </c>
      <c r="D4" s="17" t="s">
        <v>58</v>
      </c>
      <c r="E4" s="17">
        <v>4</v>
      </c>
      <c r="F4" s="17" t="s">
        <v>9</v>
      </c>
      <c r="G4" s="17" t="s">
        <v>17</v>
      </c>
      <c r="H4" s="17" t="str">
        <f t="shared" si="0"/>
        <v>Half-Spar Radium Flange</v>
      </c>
      <c r="I4" s="55">
        <f t="shared" si="1"/>
        <v>1000</v>
      </c>
      <c r="J4" s="17">
        <v>11</v>
      </c>
      <c r="K4" s="17">
        <f t="shared" si="2"/>
        <v>0.5</v>
      </c>
      <c r="L4" s="18">
        <f t="shared" si="3"/>
        <v>5500</v>
      </c>
      <c r="M4" s="55">
        <f t="shared" si="4"/>
        <v>275</v>
      </c>
      <c r="N4" s="55">
        <f t="shared" si="5"/>
        <v>1100</v>
      </c>
      <c r="O4" s="55">
        <f t="shared" si="6"/>
        <v>4125</v>
      </c>
      <c r="P4" s="55">
        <f t="shared" si="7"/>
        <v>2000</v>
      </c>
      <c r="Q4" s="94">
        <f t="shared" si="8"/>
        <v>2125</v>
      </c>
    </row>
    <row r="5" spans="1:24">
      <c r="A5" s="17">
        <v>1006</v>
      </c>
      <c r="B5" s="17">
        <v>3</v>
      </c>
      <c r="C5" s="17" t="s">
        <v>31</v>
      </c>
      <c r="D5" s="17" t="s">
        <v>46</v>
      </c>
      <c r="E5" s="17">
        <v>1</v>
      </c>
      <c r="F5" s="17" t="s">
        <v>11</v>
      </c>
      <c r="G5" s="17" t="s">
        <v>16</v>
      </c>
      <c r="H5" s="17" t="str">
        <f t="shared" si="0"/>
        <v>Centurion Mezzle Spark Igniter</v>
      </c>
      <c r="I5" s="55">
        <f t="shared" si="1"/>
        <v>1500</v>
      </c>
      <c r="J5" s="17">
        <v>3</v>
      </c>
      <c r="K5" s="17">
        <f t="shared" si="2"/>
        <v>0</v>
      </c>
      <c r="L5" s="18">
        <f t="shared" si="3"/>
        <v>0</v>
      </c>
      <c r="M5" s="55">
        <f t="shared" si="4"/>
        <v>0</v>
      </c>
      <c r="N5" s="55">
        <f t="shared" si="5"/>
        <v>0</v>
      </c>
      <c r="O5" s="55">
        <f t="shared" si="6"/>
        <v>0</v>
      </c>
      <c r="P5" s="55">
        <f t="shared" si="7"/>
        <v>2000</v>
      </c>
      <c r="Q5" s="94">
        <f t="shared" si="8"/>
        <v>-2000</v>
      </c>
    </row>
    <row r="6" spans="1:24">
      <c r="A6" s="17">
        <v>1006</v>
      </c>
      <c r="B6" s="17">
        <v>4</v>
      </c>
      <c r="C6" s="17" t="s">
        <v>31</v>
      </c>
      <c r="D6" s="17" t="s">
        <v>50</v>
      </c>
      <c r="E6" s="17">
        <v>4</v>
      </c>
      <c r="F6" s="17" t="s">
        <v>10</v>
      </c>
      <c r="G6" s="17" t="s">
        <v>16</v>
      </c>
      <c r="H6" s="17" t="str">
        <f t="shared" si="0"/>
        <v>Centurion Mezzle Spark Igniter</v>
      </c>
      <c r="I6" s="55">
        <f t="shared" si="1"/>
        <v>1500</v>
      </c>
      <c r="J6" s="17">
        <v>5</v>
      </c>
      <c r="K6" s="17">
        <f t="shared" si="2"/>
        <v>1</v>
      </c>
      <c r="L6" s="18">
        <f t="shared" si="3"/>
        <v>7500</v>
      </c>
      <c r="M6" s="55">
        <f t="shared" si="4"/>
        <v>1125</v>
      </c>
      <c r="N6" s="55">
        <f t="shared" si="5"/>
        <v>2000</v>
      </c>
      <c r="O6" s="55">
        <f t="shared" si="6"/>
        <v>4375</v>
      </c>
      <c r="P6" s="55">
        <f t="shared" si="7"/>
        <v>2000</v>
      </c>
      <c r="Q6" s="94">
        <f t="shared" si="8"/>
        <v>2375</v>
      </c>
      <c r="S6" s="2"/>
      <c r="T6" s="1"/>
      <c r="U6" s="1"/>
      <c r="V6" s="1"/>
      <c r="W6" s="1"/>
      <c r="X6" s="1"/>
    </row>
    <row r="7" spans="1:24">
      <c r="A7" s="17">
        <v>1013</v>
      </c>
      <c r="B7" s="17">
        <v>3</v>
      </c>
      <c r="C7" s="17" t="s">
        <v>24</v>
      </c>
      <c r="D7" s="17" t="s">
        <v>58</v>
      </c>
      <c r="E7" s="17">
        <v>3</v>
      </c>
      <c r="F7" s="17" t="s">
        <v>11</v>
      </c>
      <c r="G7" s="17" t="s">
        <v>15</v>
      </c>
      <c r="H7" s="17" t="str">
        <f t="shared" si="0"/>
        <v>Radial Atomizer</v>
      </c>
      <c r="I7" s="55">
        <f t="shared" si="1"/>
        <v>11500</v>
      </c>
      <c r="J7" s="17">
        <v>2</v>
      </c>
      <c r="K7" s="17">
        <f t="shared" si="2"/>
        <v>0</v>
      </c>
      <c r="L7" s="18">
        <f t="shared" si="3"/>
        <v>0</v>
      </c>
      <c r="M7" s="55">
        <f t="shared" si="4"/>
        <v>0</v>
      </c>
      <c r="N7" s="55">
        <f t="shared" si="5"/>
        <v>0</v>
      </c>
      <c r="O7" s="55">
        <f t="shared" si="6"/>
        <v>0</v>
      </c>
      <c r="P7" s="55">
        <f t="shared" si="7"/>
        <v>16666.666666666668</v>
      </c>
      <c r="Q7" s="94">
        <f t="shared" si="8"/>
        <v>-16666.666666666668</v>
      </c>
      <c r="S7" s="4"/>
      <c r="T7" s="1"/>
      <c r="U7" s="1"/>
      <c r="V7" s="1"/>
      <c r="W7" s="1"/>
      <c r="X7" s="1"/>
    </row>
    <row r="8" spans="1:24">
      <c r="A8" s="17">
        <v>1013</v>
      </c>
      <c r="B8" s="17">
        <v>4</v>
      </c>
      <c r="C8" s="17" t="s">
        <v>24</v>
      </c>
      <c r="D8" s="17" t="s">
        <v>49</v>
      </c>
      <c r="E8" s="17">
        <v>5</v>
      </c>
      <c r="F8" s="17" t="s">
        <v>9</v>
      </c>
      <c r="G8" s="17" t="s">
        <v>15</v>
      </c>
      <c r="H8" s="17" t="str">
        <f t="shared" si="0"/>
        <v>Radial Atomizer</v>
      </c>
      <c r="I8" s="55">
        <f t="shared" si="1"/>
        <v>11500</v>
      </c>
      <c r="J8" s="17">
        <v>4</v>
      </c>
      <c r="K8" s="17">
        <f t="shared" si="2"/>
        <v>0.97</v>
      </c>
      <c r="L8" s="18">
        <f t="shared" si="3"/>
        <v>44620</v>
      </c>
      <c r="M8" s="55">
        <f t="shared" si="4"/>
        <v>2231</v>
      </c>
      <c r="N8" s="55">
        <f t="shared" si="5"/>
        <v>2328</v>
      </c>
      <c r="O8" s="55">
        <f t="shared" si="6"/>
        <v>40061</v>
      </c>
      <c r="P8" s="55">
        <f t="shared" si="7"/>
        <v>4166.666666666667</v>
      </c>
      <c r="Q8" s="94">
        <f t="shared" si="8"/>
        <v>35894.333333333336</v>
      </c>
      <c r="S8" s="4"/>
      <c r="T8" s="1"/>
      <c r="U8" s="1"/>
      <c r="V8" s="1"/>
      <c r="W8" s="1"/>
      <c r="X8" s="1"/>
    </row>
    <row r="9" spans="1:24">
      <c r="A9" s="17">
        <v>1017</v>
      </c>
      <c r="B9" s="17">
        <v>2</v>
      </c>
      <c r="C9" s="17" t="s">
        <v>25</v>
      </c>
      <c r="D9" s="17" t="s">
        <v>58</v>
      </c>
      <c r="E9" s="17">
        <v>4</v>
      </c>
      <c r="F9" s="17" t="s">
        <v>11</v>
      </c>
      <c r="G9" s="17" t="s">
        <v>18</v>
      </c>
      <c r="H9" s="17" t="str">
        <f t="shared" si="0"/>
        <v>Meezor Turbine Counter-Thruster</v>
      </c>
      <c r="I9" s="55">
        <f t="shared" si="1"/>
        <v>21296</v>
      </c>
      <c r="J9" s="17">
        <v>6</v>
      </c>
      <c r="K9" s="17">
        <f t="shared" si="2"/>
        <v>0</v>
      </c>
      <c r="L9" s="18">
        <f t="shared" si="3"/>
        <v>0</v>
      </c>
      <c r="M9" s="55">
        <f t="shared" si="4"/>
        <v>0</v>
      </c>
      <c r="N9" s="55">
        <f t="shared" si="5"/>
        <v>0</v>
      </c>
      <c r="O9" s="55">
        <f t="shared" si="6"/>
        <v>0</v>
      </c>
      <c r="P9" s="55">
        <f t="shared" si="7"/>
        <v>8000</v>
      </c>
      <c r="Q9" s="94">
        <f t="shared" si="8"/>
        <v>-8000</v>
      </c>
      <c r="S9" s="4"/>
      <c r="T9" s="1"/>
      <c r="U9" s="1"/>
      <c r="V9" s="1"/>
      <c r="W9" s="1"/>
      <c r="X9" s="1"/>
    </row>
    <row r="10" spans="1:24">
      <c r="A10" s="17">
        <v>1017</v>
      </c>
      <c r="B10" s="17">
        <v>1</v>
      </c>
      <c r="C10" s="17" t="s">
        <v>26</v>
      </c>
      <c r="D10" s="17" t="s">
        <v>49</v>
      </c>
      <c r="E10" s="17">
        <v>7</v>
      </c>
      <c r="F10" s="17" t="s">
        <v>11</v>
      </c>
      <c r="G10" s="17" t="s">
        <v>16</v>
      </c>
      <c r="H10" s="17" t="str">
        <f t="shared" si="0"/>
        <v>Centurion Mezzle Spark Igniter</v>
      </c>
      <c r="I10" s="55">
        <f t="shared" si="1"/>
        <v>1500</v>
      </c>
      <c r="J10" s="17">
        <v>5</v>
      </c>
      <c r="K10" s="17">
        <f t="shared" si="2"/>
        <v>0</v>
      </c>
      <c r="L10" s="18">
        <f t="shared" si="3"/>
        <v>0</v>
      </c>
      <c r="M10" s="55">
        <f t="shared" si="4"/>
        <v>0</v>
      </c>
      <c r="N10" s="55">
        <f t="shared" si="5"/>
        <v>0</v>
      </c>
      <c r="O10" s="55">
        <f t="shared" si="6"/>
        <v>0</v>
      </c>
      <c r="P10" s="55">
        <f t="shared" si="7"/>
        <v>3750</v>
      </c>
      <c r="Q10" s="94">
        <f t="shared" si="8"/>
        <v>-3750</v>
      </c>
      <c r="S10" s="2"/>
      <c r="T10" s="1"/>
      <c r="U10" s="1"/>
      <c r="V10" s="1"/>
      <c r="W10" s="1"/>
      <c r="X10" s="1"/>
    </row>
    <row r="11" spans="1:24">
      <c r="A11" s="17">
        <v>1026</v>
      </c>
      <c r="B11" s="17">
        <v>1</v>
      </c>
      <c r="C11" s="17" t="s">
        <v>25</v>
      </c>
      <c r="D11" s="17" t="s">
        <v>47</v>
      </c>
      <c r="E11" s="17">
        <v>1</v>
      </c>
      <c r="F11" s="17" t="s">
        <v>11</v>
      </c>
      <c r="G11" s="17" t="s">
        <v>15</v>
      </c>
      <c r="H11" s="17" t="str">
        <f t="shared" si="0"/>
        <v>Radial Atomizer</v>
      </c>
      <c r="I11" s="55">
        <f t="shared" si="1"/>
        <v>11500</v>
      </c>
      <c r="J11" s="17">
        <v>6</v>
      </c>
      <c r="K11" s="17">
        <f t="shared" si="2"/>
        <v>0</v>
      </c>
      <c r="L11" s="18">
        <f t="shared" si="3"/>
        <v>0</v>
      </c>
      <c r="M11" s="55">
        <f t="shared" si="4"/>
        <v>0</v>
      </c>
      <c r="N11" s="55">
        <f t="shared" si="5"/>
        <v>0</v>
      </c>
      <c r="O11" s="55">
        <f t="shared" si="6"/>
        <v>0</v>
      </c>
      <c r="P11" s="55">
        <f t="shared" si="7"/>
        <v>12000</v>
      </c>
      <c r="Q11" s="94">
        <f t="shared" si="8"/>
        <v>-12000</v>
      </c>
      <c r="R11" s="3"/>
      <c r="S11" s="4"/>
      <c r="T11" s="1"/>
      <c r="U11" s="1"/>
      <c r="V11" s="1"/>
      <c r="W11" s="1"/>
      <c r="X11" s="1"/>
    </row>
    <row r="12" spans="1:24">
      <c r="A12" s="17">
        <v>1043</v>
      </c>
      <c r="B12" s="17">
        <v>1</v>
      </c>
      <c r="C12" s="17" t="s">
        <v>25</v>
      </c>
      <c r="D12" s="17" t="s">
        <v>58</v>
      </c>
      <c r="E12" s="17">
        <v>1</v>
      </c>
      <c r="F12" s="17" t="s">
        <v>11</v>
      </c>
      <c r="G12" s="17" t="s">
        <v>16</v>
      </c>
      <c r="H12" s="17" t="str">
        <f t="shared" si="0"/>
        <v>Centurion Mezzle Spark Igniter</v>
      </c>
      <c r="I12" s="55">
        <f t="shared" si="1"/>
        <v>1500</v>
      </c>
      <c r="J12" s="17">
        <v>7</v>
      </c>
      <c r="K12" s="17">
        <f t="shared" si="2"/>
        <v>0</v>
      </c>
      <c r="L12" s="18">
        <f t="shared" si="3"/>
        <v>0</v>
      </c>
      <c r="M12" s="55">
        <f t="shared" si="4"/>
        <v>0</v>
      </c>
      <c r="N12" s="55">
        <f t="shared" si="5"/>
        <v>0</v>
      </c>
      <c r="O12" s="55">
        <f t="shared" si="6"/>
        <v>0</v>
      </c>
      <c r="P12" s="55">
        <f t="shared" si="7"/>
        <v>12000</v>
      </c>
      <c r="Q12" s="94">
        <f t="shared" si="8"/>
        <v>-12000</v>
      </c>
      <c r="R12" s="3"/>
      <c r="S12" s="4"/>
      <c r="T12" s="1"/>
      <c r="U12" s="1"/>
      <c r="V12" s="1"/>
      <c r="W12" s="1"/>
      <c r="X12" s="1"/>
    </row>
    <row r="13" spans="1:24">
      <c r="A13" s="17">
        <v>1053</v>
      </c>
      <c r="B13" s="17">
        <v>2</v>
      </c>
      <c r="C13" s="17" t="s">
        <v>31</v>
      </c>
      <c r="D13" s="17" t="s">
        <v>46</v>
      </c>
      <c r="E13" s="17">
        <v>1</v>
      </c>
      <c r="F13" s="17" t="s">
        <v>11</v>
      </c>
      <c r="G13" s="17" t="s">
        <v>17</v>
      </c>
      <c r="H13" s="17" t="str">
        <f t="shared" si="0"/>
        <v>Half-Spar Radium Flange</v>
      </c>
      <c r="I13" s="55">
        <f t="shared" si="1"/>
        <v>1000</v>
      </c>
      <c r="J13" s="17">
        <v>14</v>
      </c>
      <c r="K13" s="17">
        <f t="shared" si="2"/>
        <v>0</v>
      </c>
      <c r="L13" s="18">
        <f t="shared" si="3"/>
        <v>0</v>
      </c>
      <c r="M13" s="55">
        <f t="shared" si="4"/>
        <v>0</v>
      </c>
      <c r="N13" s="55">
        <f t="shared" si="5"/>
        <v>0</v>
      </c>
      <c r="O13" s="55">
        <f t="shared" si="6"/>
        <v>0</v>
      </c>
      <c r="P13" s="55">
        <f t="shared" si="7"/>
        <v>2500</v>
      </c>
      <c r="Q13" s="94">
        <f t="shared" si="8"/>
        <v>-2500</v>
      </c>
      <c r="R13" s="3"/>
      <c r="S13" s="4"/>
      <c r="T13" s="1"/>
      <c r="U13" s="1"/>
      <c r="V13" s="1"/>
      <c r="W13" s="1"/>
      <c r="X13" s="1"/>
    </row>
    <row r="14" spans="1:24">
      <c r="A14" s="17">
        <v>1053</v>
      </c>
      <c r="B14" s="17">
        <v>1</v>
      </c>
      <c r="C14" s="17" t="s">
        <v>31</v>
      </c>
      <c r="D14" s="17" t="s">
        <v>47</v>
      </c>
      <c r="E14" s="17">
        <v>1</v>
      </c>
      <c r="F14" s="17" t="s">
        <v>11</v>
      </c>
      <c r="G14" s="17" t="s">
        <v>17</v>
      </c>
      <c r="H14" s="17" t="str">
        <f t="shared" si="0"/>
        <v>Half-Spar Radium Flange</v>
      </c>
      <c r="I14" s="55">
        <f t="shared" si="1"/>
        <v>1000</v>
      </c>
      <c r="J14" s="17">
        <v>13</v>
      </c>
      <c r="K14" s="17">
        <f t="shared" si="2"/>
        <v>0</v>
      </c>
      <c r="L14" s="18">
        <f t="shared" si="3"/>
        <v>0</v>
      </c>
      <c r="M14" s="55">
        <f t="shared" si="4"/>
        <v>0</v>
      </c>
      <c r="N14" s="55">
        <f t="shared" si="5"/>
        <v>0</v>
      </c>
      <c r="O14" s="55">
        <f t="shared" si="6"/>
        <v>0</v>
      </c>
      <c r="P14" s="55">
        <f t="shared" si="7"/>
        <v>6250</v>
      </c>
      <c r="Q14" s="94">
        <f t="shared" si="8"/>
        <v>-6250</v>
      </c>
      <c r="R14" s="3"/>
      <c r="S14" s="2"/>
      <c r="T14" s="1"/>
      <c r="U14" s="1"/>
      <c r="V14" s="1"/>
      <c r="W14" s="1"/>
      <c r="X14" s="1"/>
    </row>
    <row r="15" spans="1:24">
      <c r="A15" s="17">
        <v>1053</v>
      </c>
      <c r="B15" s="17">
        <v>3</v>
      </c>
      <c r="C15" s="17" t="s">
        <v>25</v>
      </c>
      <c r="D15" s="17" t="s">
        <v>58</v>
      </c>
      <c r="E15" s="17">
        <v>1</v>
      </c>
      <c r="F15" s="17" t="s">
        <v>11</v>
      </c>
      <c r="G15" s="17" t="s">
        <v>17</v>
      </c>
      <c r="H15" s="17" t="str">
        <f t="shared" si="0"/>
        <v>Half-Spar Radium Flange</v>
      </c>
      <c r="I15" s="55">
        <f t="shared" si="1"/>
        <v>1000</v>
      </c>
      <c r="J15" s="17">
        <v>6</v>
      </c>
      <c r="K15" s="17">
        <f t="shared" si="2"/>
        <v>0</v>
      </c>
      <c r="L15" s="18">
        <f t="shared" si="3"/>
        <v>0</v>
      </c>
      <c r="M15" s="55">
        <f t="shared" si="4"/>
        <v>0</v>
      </c>
      <c r="N15" s="55">
        <f t="shared" si="5"/>
        <v>0</v>
      </c>
      <c r="O15" s="55">
        <f t="shared" si="6"/>
        <v>0</v>
      </c>
      <c r="P15" s="55">
        <f t="shared" si="7"/>
        <v>9230.7692307692305</v>
      </c>
      <c r="Q15" s="94">
        <f t="shared" si="8"/>
        <v>-9230.7692307692305</v>
      </c>
      <c r="S15" s="4"/>
      <c r="T15" s="1"/>
      <c r="U15" s="1"/>
      <c r="V15" s="1"/>
      <c r="W15" s="1"/>
      <c r="X15" s="1"/>
    </row>
    <row r="16" spans="1:24">
      <c r="A16" s="17">
        <v>1053</v>
      </c>
      <c r="B16" s="17">
        <v>4</v>
      </c>
      <c r="C16" s="17" t="s">
        <v>31</v>
      </c>
      <c r="D16" s="17" t="s">
        <v>58</v>
      </c>
      <c r="E16" s="17">
        <v>3</v>
      </c>
      <c r="F16" s="17" t="s">
        <v>11</v>
      </c>
      <c r="G16" s="17" t="s">
        <v>16</v>
      </c>
      <c r="H16" s="17" t="str">
        <f t="shared" si="0"/>
        <v>Centurion Mezzle Spark Igniter</v>
      </c>
      <c r="I16" s="55">
        <f t="shared" si="1"/>
        <v>1500</v>
      </c>
      <c r="J16" s="17">
        <v>2</v>
      </c>
      <c r="K16" s="17">
        <f t="shared" si="2"/>
        <v>0</v>
      </c>
      <c r="L16" s="18">
        <f t="shared" si="3"/>
        <v>0</v>
      </c>
      <c r="M16" s="55">
        <f t="shared" si="4"/>
        <v>0</v>
      </c>
      <c r="N16" s="55">
        <f t="shared" si="5"/>
        <v>0</v>
      </c>
      <c r="O16" s="55">
        <f t="shared" si="6"/>
        <v>0</v>
      </c>
      <c r="P16" s="55">
        <f t="shared" si="7"/>
        <v>2000</v>
      </c>
      <c r="Q16" s="94">
        <f t="shared" si="8"/>
        <v>-2000</v>
      </c>
      <c r="S16" s="4"/>
      <c r="T16" s="1"/>
      <c r="U16" s="1"/>
      <c r="V16" s="1"/>
      <c r="W16" s="1"/>
      <c r="X16" s="1"/>
    </row>
    <row r="17" spans="1:24">
      <c r="A17" s="17">
        <v>1056</v>
      </c>
      <c r="B17" s="17">
        <v>3</v>
      </c>
      <c r="C17" s="17" t="s">
        <v>31</v>
      </c>
      <c r="D17" s="17" t="s">
        <v>46</v>
      </c>
      <c r="E17" s="17">
        <v>1</v>
      </c>
      <c r="F17" s="17" t="s">
        <v>11</v>
      </c>
      <c r="G17" s="17" t="s">
        <v>17</v>
      </c>
      <c r="H17" s="17" t="str">
        <f t="shared" si="0"/>
        <v>Half-Spar Radium Flange</v>
      </c>
      <c r="I17" s="55">
        <f t="shared" si="1"/>
        <v>1000</v>
      </c>
      <c r="J17" s="17">
        <v>13</v>
      </c>
      <c r="K17" s="17">
        <f t="shared" si="2"/>
        <v>0</v>
      </c>
      <c r="L17" s="18">
        <f t="shared" si="3"/>
        <v>0</v>
      </c>
      <c r="M17" s="55">
        <f t="shared" si="4"/>
        <v>0</v>
      </c>
      <c r="N17" s="55">
        <f t="shared" si="5"/>
        <v>0</v>
      </c>
      <c r="O17" s="55">
        <f t="shared" si="6"/>
        <v>0</v>
      </c>
      <c r="P17" s="55">
        <f t="shared" si="7"/>
        <v>2000</v>
      </c>
      <c r="Q17" s="94">
        <f t="shared" si="8"/>
        <v>-2000</v>
      </c>
      <c r="S17" s="4"/>
      <c r="T17" s="1"/>
      <c r="U17" s="1"/>
      <c r="V17" s="1"/>
      <c r="W17" s="1"/>
      <c r="X17" s="1"/>
    </row>
    <row r="18" spans="1:24">
      <c r="A18" s="17">
        <v>1058</v>
      </c>
      <c r="B18" s="17">
        <v>4</v>
      </c>
      <c r="C18" s="17" t="s">
        <v>24</v>
      </c>
      <c r="D18" s="17" t="s">
        <v>46</v>
      </c>
      <c r="E18" s="17">
        <v>1</v>
      </c>
      <c r="F18" s="17" t="s">
        <v>9</v>
      </c>
      <c r="G18" s="17" t="s">
        <v>15</v>
      </c>
      <c r="H18" s="17" t="str">
        <f t="shared" si="0"/>
        <v>Radial Atomizer</v>
      </c>
      <c r="I18" s="55">
        <f t="shared" si="1"/>
        <v>11500</v>
      </c>
      <c r="J18" s="17">
        <v>4</v>
      </c>
      <c r="K18" s="17">
        <f t="shared" si="2"/>
        <v>0.05</v>
      </c>
      <c r="L18" s="18">
        <f t="shared" si="3"/>
        <v>2300</v>
      </c>
      <c r="M18" s="55">
        <f t="shared" si="4"/>
        <v>115</v>
      </c>
      <c r="N18" s="55">
        <f t="shared" si="5"/>
        <v>120</v>
      </c>
      <c r="O18" s="55">
        <f t="shared" si="6"/>
        <v>2065</v>
      </c>
      <c r="P18" s="55">
        <f t="shared" si="7"/>
        <v>4166.666666666667</v>
      </c>
      <c r="Q18" s="94">
        <f t="shared" si="8"/>
        <v>-2101.666666666667</v>
      </c>
      <c r="S18" s="2"/>
      <c r="T18" s="1"/>
      <c r="U18" s="1"/>
      <c r="V18" s="1"/>
      <c r="W18" s="1"/>
      <c r="X18" s="1"/>
    </row>
    <row r="19" spans="1:24">
      <c r="A19" s="17">
        <v>1074</v>
      </c>
      <c r="B19" s="17">
        <v>2</v>
      </c>
      <c r="C19" s="17" t="s">
        <v>31</v>
      </c>
      <c r="D19" s="17" t="s">
        <v>50</v>
      </c>
      <c r="E19" s="17">
        <v>7</v>
      </c>
      <c r="F19" s="17" t="s">
        <v>10</v>
      </c>
      <c r="G19" s="17" t="s">
        <v>17</v>
      </c>
      <c r="H19" s="17" t="str">
        <f t="shared" si="0"/>
        <v>Half-Spar Radium Flange</v>
      </c>
      <c r="I19" s="55">
        <f t="shared" si="1"/>
        <v>1000</v>
      </c>
      <c r="J19" s="17">
        <v>4</v>
      </c>
      <c r="K19" s="17">
        <f t="shared" si="2"/>
        <v>1</v>
      </c>
      <c r="L19" s="18">
        <f t="shared" si="3"/>
        <v>4000</v>
      </c>
      <c r="M19" s="55">
        <f t="shared" si="4"/>
        <v>200</v>
      </c>
      <c r="N19" s="55">
        <f t="shared" si="5"/>
        <v>800</v>
      </c>
      <c r="O19" s="55">
        <f t="shared" si="6"/>
        <v>3000</v>
      </c>
      <c r="P19" s="55">
        <f t="shared" si="7"/>
        <v>2500</v>
      </c>
      <c r="Q19" s="94">
        <f t="shared" si="8"/>
        <v>500</v>
      </c>
      <c r="S19" s="4"/>
      <c r="T19" s="1"/>
      <c r="U19" s="1"/>
      <c r="V19" s="1"/>
      <c r="W19" s="1"/>
      <c r="X19" s="1"/>
    </row>
    <row r="20" spans="1:24">
      <c r="A20" s="17">
        <v>1081</v>
      </c>
      <c r="B20" s="17">
        <v>4</v>
      </c>
      <c r="C20" s="17" t="s">
        <v>25</v>
      </c>
      <c r="D20" s="17" t="s">
        <v>47</v>
      </c>
      <c r="E20" s="17">
        <v>2</v>
      </c>
      <c r="F20" s="17" t="s">
        <v>11</v>
      </c>
      <c r="G20" s="17" t="s">
        <v>16</v>
      </c>
      <c r="H20" s="17" t="str">
        <f t="shared" si="0"/>
        <v>Centurion Mezzle Spark Igniter</v>
      </c>
      <c r="I20" s="55">
        <f t="shared" si="1"/>
        <v>1500</v>
      </c>
      <c r="J20" s="17">
        <v>6</v>
      </c>
      <c r="K20" s="17">
        <f t="shared" si="2"/>
        <v>0</v>
      </c>
      <c r="L20" s="18">
        <f t="shared" si="3"/>
        <v>0</v>
      </c>
      <c r="M20" s="55">
        <f t="shared" si="4"/>
        <v>0</v>
      </c>
      <c r="N20" s="55">
        <f t="shared" si="5"/>
        <v>0</v>
      </c>
      <c r="O20" s="55">
        <f t="shared" si="6"/>
        <v>0</v>
      </c>
      <c r="P20" s="55">
        <f t="shared" si="7"/>
        <v>20000</v>
      </c>
      <c r="Q20" s="94">
        <f t="shared" si="8"/>
        <v>-20000</v>
      </c>
      <c r="S20" s="4"/>
      <c r="T20" s="1"/>
      <c r="U20" s="1"/>
      <c r="V20" s="1"/>
      <c r="W20" s="1"/>
      <c r="X20" s="1"/>
    </row>
    <row r="21" spans="1:24">
      <c r="A21" s="17">
        <v>1086</v>
      </c>
      <c r="B21" s="17">
        <v>4</v>
      </c>
      <c r="C21" s="17" t="s">
        <v>31</v>
      </c>
      <c r="D21" s="17" t="s">
        <v>46</v>
      </c>
      <c r="E21" s="17">
        <v>2</v>
      </c>
      <c r="F21" s="17" t="s">
        <v>9</v>
      </c>
      <c r="G21" s="17" t="s">
        <v>15</v>
      </c>
      <c r="H21" s="17" t="str">
        <f t="shared" si="0"/>
        <v>Radial Atomizer</v>
      </c>
      <c r="I21" s="55">
        <f t="shared" si="1"/>
        <v>11500</v>
      </c>
      <c r="J21" s="17">
        <v>16</v>
      </c>
      <c r="K21" s="17">
        <f t="shared" si="2"/>
        <v>0.05</v>
      </c>
      <c r="L21" s="18">
        <f t="shared" si="3"/>
        <v>9200</v>
      </c>
      <c r="M21" s="55">
        <f t="shared" si="4"/>
        <v>460</v>
      </c>
      <c r="N21" s="55">
        <f t="shared" si="5"/>
        <v>480</v>
      </c>
      <c r="O21" s="55">
        <f t="shared" si="6"/>
        <v>8260</v>
      </c>
      <c r="P21" s="55">
        <f t="shared" si="7"/>
        <v>2000</v>
      </c>
      <c r="Q21" s="94">
        <f t="shared" si="8"/>
        <v>6260</v>
      </c>
      <c r="S21" s="4"/>
      <c r="T21" s="1"/>
      <c r="U21" s="1"/>
      <c r="V21" s="1"/>
      <c r="W21" s="1"/>
      <c r="X21" s="1"/>
    </row>
    <row r="22" spans="1:24">
      <c r="A22" s="17">
        <v>1086</v>
      </c>
      <c r="B22" s="17">
        <v>3</v>
      </c>
      <c r="C22" s="17" t="s">
        <v>25</v>
      </c>
      <c r="D22" s="17" t="s">
        <v>50</v>
      </c>
      <c r="E22" s="17">
        <v>5</v>
      </c>
      <c r="F22" s="17" t="s">
        <v>11</v>
      </c>
      <c r="G22" s="17" t="s">
        <v>17</v>
      </c>
      <c r="H22" s="17" t="str">
        <f t="shared" si="0"/>
        <v>Half-Spar Radium Flange</v>
      </c>
      <c r="I22" s="55">
        <f t="shared" si="1"/>
        <v>1000</v>
      </c>
      <c r="J22" s="17">
        <v>7</v>
      </c>
      <c r="K22" s="17">
        <f t="shared" si="2"/>
        <v>0</v>
      </c>
      <c r="L22" s="18">
        <f t="shared" si="3"/>
        <v>0</v>
      </c>
      <c r="M22" s="55">
        <f t="shared" si="4"/>
        <v>0</v>
      </c>
      <c r="N22" s="55">
        <f t="shared" si="5"/>
        <v>0</v>
      </c>
      <c r="O22" s="55">
        <f t="shared" si="6"/>
        <v>0</v>
      </c>
      <c r="P22" s="55">
        <f t="shared" si="7"/>
        <v>9230.7692307692305</v>
      </c>
      <c r="Q22" s="94">
        <f t="shared" si="8"/>
        <v>-9230.7692307692305</v>
      </c>
      <c r="S22" s="2"/>
      <c r="T22" s="1"/>
      <c r="U22" s="1"/>
      <c r="V22" s="1"/>
      <c r="W22" s="1"/>
      <c r="X22" s="1"/>
    </row>
    <row r="23" spans="1:24">
      <c r="A23" s="17">
        <v>1086</v>
      </c>
      <c r="B23" s="17">
        <v>1</v>
      </c>
      <c r="C23" s="17" t="s">
        <v>24</v>
      </c>
      <c r="D23" s="17" t="s">
        <v>50</v>
      </c>
      <c r="E23" s="17">
        <v>5</v>
      </c>
      <c r="F23" s="17" t="s">
        <v>10</v>
      </c>
      <c r="G23" s="17" t="s">
        <v>15</v>
      </c>
      <c r="H23" s="17" t="str">
        <f t="shared" si="0"/>
        <v>Radial Atomizer</v>
      </c>
      <c r="I23" s="55">
        <f t="shared" si="1"/>
        <v>11500</v>
      </c>
      <c r="J23" s="17">
        <v>5</v>
      </c>
      <c r="K23" s="17">
        <f t="shared" si="2"/>
        <v>1</v>
      </c>
      <c r="L23" s="18">
        <f t="shared" si="3"/>
        <v>57500</v>
      </c>
      <c r="M23" s="55">
        <f t="shared" si="4"/>
        <v>2875</v>
      </c>
      <c r="N23" s="55">
        <f t="shared" si="5"/>
        <v>3000</v>
      </c>
      <c r="O23" s="55">
        <f t="shared" si="6"/>
        <v>51625</v>
      </c>
      <c r="P23" s="55">
        <f t="shared" si="7"/>
        <v>6250</v>
      </c>
      <c r="Q23" s="94">
        <f t="shared" si="8"/>
        <v>45375</v>
      </c>
    </row>
    <row r="24" spans="1:24">
      <c r="A24" s="17">
        <v>1086</v>
      </c>
      <c r="B24" s="17">
        <v>2</v>
      </c>
      <c r="C24" s="17" t="s">
        <v>31</v>
      </c>
      <c r="D24" s="17" t="s">
        <v>47</v>
      </c>
      <c r="E24" s="17">
        <v>1</v>
      </c>
      <c r="F24" s="17" t="s">
        <v>11</v>
      </c>
      <c r="G24" s="17" t="s">
        <v>17</v>
      </c>
      <c r="H24" s="17" t="str">
        <f t="shared" si="0"/>
        <v>Half-Spar Radium Flange</v>
      </c>
      <c r="I24" s="55">
        <f t="shared" si="1"/>
        <v>1000</v>
      </c>
      <c r="J24" s="17">
        <v>12</v>
      </c>
      <c r="K24" s="17">
        <f t="shared" si="2"/>
        <v>0</v>
      </c>
      <c r="L24" s="18">
        <f t="shared" si="3"/>
        <v>0</v>
      </c>
      <c r="M24" s="55">
        <f t="shared" si="4"/>
        <v>0</v>
      </c>
      <c r="N24" s="55">
        <f t="shared" si="5"/>
        <v>0</v>
      </c>
      <c r="O24" s="55">
        <f t="shared" si="6"/>
        <v>0</v>
      </c>
      <c r="P24" s="55">
        <f t="shared" si="7"/>
        <v>2500</v>
      </c>
      <c r="Q24" s="94">
        <f t="shared" si="8"/>
        <v>-2500</v>
      </c>
    </row>
    <row r="25" spans="1:24">
      <c r="A25" s="17">
        <v>1088</v>
      </c>
      <c r="B25" s="17">
        <v>4</v>
      </c>
      <c r="C25" s="17" t="s">
        <v>26</v>
      </c>
      <c r="D25" s="17" t="s">
        <v>47</v>
      </c>
      <c r="E25" s="17">
        <v>2</v>
      </c>
      <c r="F25" s="17" t="s">
        <v>9</v>
      </c>
      <c r="G25" s="17" t="s">
        <v>15</v>
      </c>
      <c r="H25" s="17" t="str">
        <f t="shared" si="0"/>
        <v>Radial Atomizer</v>
      </c>
      <c r="I25" s="55">
        <f t="shared" si="1"/>
        <v>11500</v>
      </c>
      <c r="J25" s="17">
        <v>4</v>
      </c>
      <c r="K25" s="17">
        <f t="shared" si="2"/>
        <v>0.25</v>
      </c>
      <c r="L25" s="18">
        <f t="shared" si="3"/>
        <v>11500</v>
      </c>
      <c r="M25" s="55">
        <f t="shared" si="4"/>
        <v>575</v>
      </c>
      <c r="N25" s="55">
        <f t="shared" si="5"/>
        <v>600</v>
      </c>
      <c r="O25" s="55">
        <f t="shared" si="6"/>
        <v>10325</v>
      </c>
      <c r="P25" s="55">
        <f t="shared" si="7"/>
        <v>4285.7142857142853</v>
      </c>
      <c r="Q25" s="94">
        <f t="shared" si="8"/>
        <v>6039.2857142857147</v>
      </c>
    </row>
    <row r="26" spans="1:24">
      <c r="A26" s="17">
        <v>1104</v>
      </c>
      <c r="B26" s="17">
        <v>3</v>
      </c>
      <c r="C26" s="17" t="s">
        <v>31</v>
      </c>
      <c r="D26" s="17" t="s">
        <v>46</v>
      </c>
      <c r="E26" s="17">
        <v>1</v>
      </c>
      <c r="F26" s="17" t="s">
        <v>11</v>
      </c>
      <c r="G26" s="17" t="s">
        <v>15</v>
      </c>
      <c r="H26" s="17" t="str">
        <f t="shared" si="0"/>
        <v>Radial Atomizer</v>
      </c>
      <c r="I26" s="55">
        <f t="shared" si="1"/>
        <v>11500</v>
      </c>
      <c r="J26" s="17">
        <v>6</v>
      </c>
      <c r="K26" s="17">
        <f t="shared" si="2"/>
        <v>0</v>
      </c>
      <c r="L26" s="18">
        <f t="shared" si="3"/>
        <v>0</v>
      </c>
      <c r="M26" s="55">
        <f t="shared" si="4"/>
        <v>0</v>
      </c>
      <c r="N26" s="55">
        <f t="shared" si="5"/>
        <v>0</v>
      </c>
      <c r="O26" s="55">
        <f t="shared" si="6"/>
        <v>0</v>
      </c>
      <c r="P26" s="55">
        <f t="shared" si="7"/>
        <v>2000</v>
      </c>
      <c r="Q26" s="94">
        <f t="shared" si="8"/>
        <v>-2000</v>
      </c>
    </row>
    <row r="27" spans="1:24">
      <c r="A27" s="17">
        <v>1104</v>
      </c>
      <c r="B27" s="17">
        <v>4</v>
      </c>
      <c r="C27" s="17" t="s">
        <v>31</v>
      </c>
      <c r="D27" s="17" t="s">
        <v>46</v>
      </c>
      <c r="E27" s="17">
        <v>1</v>
      </c>
      <c r="F27" s="17" t="s">
        <v>9</v>
      </c>
      <c r="G27" s="17" t="s">
        <v>16</v>
      </c>
      <c r="H27" s="17" t="str">
        <f t="shared" si="0"/>
        <v>Centurion Mezzle Spark Igniter</v>
      </c>
      <c r="I27" s="55">
        <f t="shared" si="1"/>
        <v>1500</v>
      </c>
      <c r="J27" s="17">
        <v>7</v>
      </c>
      <c r="K27" s="17">
        <f t="shared" si="2"/>
        <v>0.05</v>
      </c>
      <c r="L27" s="18">
        <f t="shared" si="3"/>
        <v>525</v>
      </c>
      <c r="M27" s="55">
        <f t="shared" si="4"/>
        <v>78.75</v>
      </c>
      <c r="N27" s="55">
        <f t="shared" si="5"/>
        <v>140</v>
      </c>
      <c r="O27" s="55">
        <f t="shared" si="6"/>
        <v>306.25</v>
      </c>
      <c r="P27" s="55">
        <f t="shared" si="7"/>
        <v>2000</v>
      </c>
      <c r="Q27" s="94">
        <f t="shared" si="8"/>
        <v>-1693.75</v>
      </c>
    </row>
    <row r="28" spans="1:24">
      <c r="A28" s="17">
        <v>1104</v>
      </c>
      <c r="B28" s="17">
        <v>2</v>
      </c>
      <c r="C28" s="17" t="s">
        <v>25</v>
      </c>
      <c r="D28" s="17" t="s">
        <v>58</v>
      </c>
      <c r="E28" s="17">
        <v>2</v>
      </c>
      <c r="F28" s="17" t="s">
        <v>11</v>
      </c>
      <c r="G28" s="17" t="s">
        <v>17</v>
      </c>
      <c r="H28" s="17" t="str">
        <f t="shared" si="0"/>
        <v>Half-Spar Radium Flange</v>
      </c>
      <c r="I28" s="55">
        <f t="shared" si="1"/>
        <v>1000</v>
      </c>
      <c r="J28" s="17">
        <v>7</v>
      </c>
      <c r="K28" s="17">
        <f t="shared" si="2"/>
        <v>0</v>
      </c>
      <c r="L28" s="18">
        <f t="shared" si="3"/>
        <v>0</v>
      </c>
      <c r="M28" s="55">
        <f t="shared" si="4"/>
        <v>0</v>
      </c>
      <c r="N28" s="55">
        <f t="shared" si="5"/>
        <v>0</v>
      </c>
      <c r="O28" s="55">
        <f t="shared" si="6"/>
        <v>0</v>
      </c>
      <c r="P28" s="55">
        <f t="shared" si="7"/>
        <v>8000</v>
      </c>
      <c r="Q28" s="94">
        <f t="shared" si="8"/>
        <v>-8000</v>
      </c>
    </row>
    <row r="29" spans="1:24">
      <c r="A29" s="17">
        <v>1110</v>
      </c>
      <c r="B29" s="17">
        <v>1</v>
      </c>
      <c r="C29" s="17" t="s">
        <v>24</v>
      </c>
      <c r="D29" s="17" t="s">
        <v>50</v>
      </c>
      <c r="E29" s="17">
        <v>3</v>
      </c>
      <c r="F29" s="17" t="s">
        <v>10</v>
      </c>
      <c r="G29" s="17" t="s">
        <v>15</v>
      </c>
      <c r="H29" s="17" t="str">
        <f t="shared" si="0"/>
        <v>Radial Atomizer</v>
      </c>
      <c r="I29" s="55">
        <f t="shared" si="1"/>
        <v>11500</v>
      </c>
      <c r="J29" s="17">
        <v>4</v>
      </c>
      <c r="K29" s="17">
        <f t="shared" si="2"/>
        <v>1</v>
      </c>
      <c r="L29" s="18">
        <f t="shared" si="3"/>
        <v>46000</v>
      </c>
      <c r="M29" s="55">
        <f t="shared" si="4"/>
        <v>2300</v>
      </c>
      <c r="N29" s="55">
        <f t="shared" si="5"/>
        <v>2400</v>
      </c>
      <c r="O29" s="55">
        <f t="shared" si="6"/>
        <v>41300</v>
      </c>
      <c r="P29" s="55">
        <f t="shared" si="7"/>
        <v>6250</v>
      </c>
      <c r="Q29" s="94">
        <f t="shared" si="8"/>
        <v>35050</v>
      </c>
    </row>
    <row r="30" spans="1:24">
      <c r="A30" s="17">
        <v>1115</v>
      </c>
      <c r="B30" s="17">
        <v>2</v>
      </c>
      <c r="C30" s="17" t="s">
        <v>26</v>
      </c>
      <c r="D30" s="17" t="s">
        <v>50</v>
      </c>
      <c r="E30" s="17">
        <v>4</v>
      </c>
      <c r="F30" s="17" t="s">
        <v>10</v>
      </c>
      <c r="G30" s="17" t="s">
        <v>15</v>
      </c>
      <c r="H30" s="17" t="str">
        <f t="shared" si="0"/>
        <v>Radial Atomizer</v>
      </c>
      <c r="I30" s="55">
        <f t="shared" si="1"/>
        <v>11500</v>
      </c>
      <c r="J30" s="17">
        <v>6</v>
      </c>
      <c r="K30" s="17">
        <f t="shared" si="2"/>
        <v>1</v>
      </c>
      <c r="L30" s="18">
        <f t="shared" si="3"/>
        <v>69000</v>
      </c>
      <c r="M30" s="55">
        <f t="shared" si="4"/>
        <v>3450</v>
      </c>
      <c r="N30" s="55">
        <f t="shared" si="5"/>
        <v>3600</v>
      </c>
      <c r="O30" s="55">
        <f t="shared" si="6"/>
        <v>61950</v>
      </c>
      <c r="P30" s="55">
        <f t="shared" si="7"/>
        <v>2727.2727272727275</v>
      </c>
      <c r="Q30" s="94">
        <f t="shared" si="8"/>
        <v>59222.727272727272</v>
      </c>
    </row>
    <row r="31" spans="1:24">
      <c r="A31" s="17">
        <v>1137</v>
      </c>
      <c r="B31" s="17">
        <v>4</v>
      </c>
      <c r="C31" s="17" t="s">
        <v>31</v>
      </c>
      <c r="D31" s="17" t="s">
        <v>46</v>
      </c>
      <c r="E31" s="17">
        <v>1</v>
      </c>
      <c r="F31" s="17" t="s">
        <v>9</v>
      </c>
      <c r="G31" s="17" t="s">
        <v>18</v>
      </c>
      <c r="H31" s="17" t="str">
        <f t="shared" si="0"/>
        <v>Meezor Turbine Counter-Thruster</v>
      </c>
      <c r="I31" s="55">
        <f t="shared" si="1"/>
        <v>21296</v>
      </c>
      <c r="J31" s="17">
        <v>5</v>
      </c>
      <c r="K31" s="17">
        <f t="shared" si="2"/>
        <v>0.05</v>
      </c>
      <c r="L31" s="18">
        <f t="shared" si="3"/>
        <v>5324</v>
      </c>
      <c r="M31" s="55">
        <f t="shared" si="4"/>
        <v>532.4</v>
      </c>
      <c r="N31" s="55">
        <f t="shared" si="5"/>
        <v>3000</v>
      </c>
      <c r="O31" s="55">
        <f t="shared" si="6"/>
        <v>1791.6000000000004</v>
      </c>
      <c r="P31" s="55">
        <f t="shared" si="7"/>
        <v>2000</v>
      </c>
      <c r="Q31" s="94">
        <f t="shared" si="8"/>
        <v>-208.39999999999964</v>
      </c>
    </row>
    <row r="32" spans="1:24">
      <c r="A32" s="17">
        <v>1137</v>
      </c>
      <c r="B32" s="17">
        <v>1</v>
      </c>
      <c r="C32" s="17" t="s">
        <v>24</v>
      </c>
      <c r="D32" s="17" t="s">
        <v>50</v>
      </c>
      <c r="E32" s="17">
        <v>3</v>
      </c>
      <c r="F32" s="17" t="s">
        <v>10</v>
      </c>
      <c r="G32" s="17" t="s">
        <v>15</v>
      </c>
      <c r="H32" s="17" t="str">
        <f t="shared" si="0"/>
        <v>Radial Atomizer</v>
      </c>
      <c r="I32" s="55">
        <f t="shared" si="1"/>
        <v>11500</v>
      </c>
      <c r="J32" s="17">
        <v>3</v>
      </c>
      <c r="K32" s="17">
        <f t="shared" si="2"/>
        <v>1</v>
      </c>
      <c r="L32" s="18">
        <f t="shared" si="3"/>
        <v>34500</v>
      </c>
      <c r="M32" s="55">
        <f t="shared" si="4"/>
        <v>1725</v>
      </c>
      <c r="N32" s="55">
        <f t="shared" si="5"/>
        <v>1800</v>
      </c>
      <c r="O32" s="55">
        <f t="shared" si="6"/>
        <v>30975</v>
      </c>
      <c r="P32" s="55">
        <f t="shared" si="7"/>
        <v>6250</v>
      </c>
      <c r="Q32" s="94">
        <f t="shared" si="8"/>
        <v>24725</v>
      </c>
    </row>
    <row r="33" spans="1:17">
      <c r="A33" s="17">
        <v>1144</v>
      </c>
      <c r="B33" s="17">
        <v>4</v>
      </c>
      <c r="C33" s="17" t="s">
        <v>25</v>
      </c>
      <c r="D33" s="17" t="s">
        <v>58</v>
      </c>
      <c r="E33" s="17">
        <v>2</v>
      </c>
      <c r="F33" s="17" t="s">
        <v>11</v>
      </c>
      <c r="G33" s="17" t="s">
        <v>16</v>
      </c>
      <c r="H33" s="17" t="str">
        <f t="shared" si="0"/>
        <v>Centurion Mezzle Spark Igniter</v>
      </c>
      <c r="I33" s="55">
        <f t="shared" si="1"/>
        <v>1500</v>
      </c>
      <c r="J33" s="17">
        <v>5</v>
      </c>
      <c r="K33" s="17">
        <f t="shared" si="2"/>
        <v>0</v>
      </c>
      <c r="L33" s="18">
        <f t="shared" si="3"/>
        <v>0</v>
      </c>
      <c r="M33" s="55">
        <f t="shared" si="4"/>
        <v>0</v>
      </c>
      <c r="N33" s="55">
        <f t="shared" si="5"/>
        <v>0</v>
      </c>
      <c r="O33" s="55">
        <f t="shared" si="6"/>
        <v>0</v>
      </c>
      <c r="P33" s="55">
        <f t="shared" si="7"/>
        <v>20000</v>
      </c>
      <c r="Q33" s="94">
        <f t="shared" si="8"/>
        <v>-20000</v>
      </c>
    </row>
    <row r="34" spans="1:17">
      <c r="A34" s="17">
        <v>1144</v>
      </c>
      <c r="B34" s="17">
        <v>1</v>
      </c>
      <c r="C34" s="17" t="s">
        <v>25</v>
      </c>
      <c r="D34" s="17" t="s">
        <v>50</v>
      </c>
      <c r="E34" s="17">
        <v>4</v>
      </c>
      <c r="F34" s="17" t="s">
        <v>11</v>
      </c>
      <c r="G34" s="17" t="s">
        <v>15</v>
      </c>
      <c r="H34" s="17" t="str">
        <f t="shared" si="0"/>
        <v>Radial Atomizer</v>
      </c>
      <c r="I34" s="55">
        <f t="shared" si="1"/>
        <v>11500</v>
      </c>
      <c r="J34" s="17">
        <v>3</v>
      </c>
      <c r="K34" s="17">
        <f t="shared" si="2"/>
        <v>0</v>
      </c>
      <c r="L34" s="18">
        <f t="shared" si="3"/>
        <v>0</v>
      </c>
      <c r="M34" s="55">
        <f t="shared" si="4"/>
        <v>0</v>
      </c>
      <c r="N34" s="55">
        <f t="shared" si="5"/>
        <v>0</v>
      </c>
      <c r="O34" s="55">
        <f t="shared" si="6"/>
        <v>0</v>
      </c>
      <c r="P34" s="55">
        <f t="shared" si="7"/>
        <v>12000</v>
      </c>
      <c r="Q34" s="94">
        <f t="shared" si="8"/>
        <v>-12000</v>
      </c>
    </row>
    <row r="35" spans="1:17">
      <c r="A35" s="17">
        <v>1149</v>
      </c>
      <c r="B35" s="17">
        <v>4</v>
      </c>
      <c r="C35" s="17" t="s">
        <v>31</v>
      </c>
      <c r="D35" s="17" t="s">
        <v>50</v>
      </c>
      <c r="E35" s="17">
        <v>6</v>
      </c>
      <c r="F35" s="17" t="s">
        <v>11</v>
      </c>
      <c r="G35" s="17" t="s">
        <v>17</v>
      </c>
      <c r="H35" s="17" t="str">
        <f t="shared" si="0"/>
        <v>Half-Spar Radium Flange</v>
      </c>
      <c r="I35" s="55">
        <f t="shared" si="1"/>
        <v>1000</v>
      </c>
      <c r="J35" s="17">
        <v>11</v>
      </c>
      <c r="K35" s="17">
        <f t="shared" si="2"/>
        <v>0</v>
      </c>
      <c r="L35" s="18">
        <f t="shared" si="3"/>
        <v>0</v>
      </c>
      <c r="M35" s="55">
        <f t="shared" si="4"/>
        <v>0</v>
      </c>
      <c r="N35" s="55">
        <f t="shared" si="5"/>
        <v>0</v>
      </c>
      <c r="O35" s="55">
        <f t="shared" si="6"/>
        <v>0</v>
      </c>
      <c r="P35" s="55">
        <f t="shared" si="7"/>
        <v>2000</v>
      </c>
      <c r="Q35" s="94">
        <f t="shared" si="8"/>
        <v>-2000</v>
      </c>
    </row>
    <row r="36" spans="1:17">
      <c r="A36" s="17">
        <v>1149</v>
      </c>
      <c r="B36" s="17">
        <v>2</v>
      </c>
      <c r="C36" s="17" t="s">
        <v>25</v>
      </c>
      <c r="D36" s="17" t="s">
        <v>58</v>
      </c>
      <c r="E36" s="17">
        <v>2</v>
      </c>
      <c r="F36" s="17" t="s">
        <v>11</v>
      </c>
      <c r="G36" s="17" t="s">
        <v>15</v>
      </c>
      <c r="H36" s="17" t="str">
        <f t="shared" si="0"/>
        <v>Radial Atomizer</v>
      </c>
      <c r="I36" s="55">
        <f t="shared" si="1"/>
        <v>11500</v>
      </c>
      <c r="J36" s="17">
        <v>5</v>
      </c>
      <c r="K36" s="17">
        <f t="shared" si="2"/>
        <v>0</v>
      </c>
      <c r="L36" s="18">
        <f t="shared" si="3"/>
        <v>0</v>
      </c>
      <c r="M36" s="55">
        <f t="shared" si="4"/>
        <v>0</v>
      </c>
      <c r="N36" s="55">
        <f t="shared" si="5"/>
        <v>0</v>
      </c>
      <c r="O36" s="55">
        <f t="shared" si="6"/>
        <v>0</v>
      </c>
      <c r="P36" s="55">
        <f t="shared" si="7"/>
        <v>8000</v>
      </c>
      <c r="Q36" s="94">
        <f t="shared" si="8"/>
        <v>-8000</v>
      </c>
    </row>
    <row r="37" spans="1:17">
      <c r="A37" s="17">
        <v>1156</v>
      </c>
      <c r="B37" s="17">
        <v>1</v>
      </c>
      <c r="C37" s="17" t="s">
        <v>24</v>
      </c>
      <c r="D37" s="17" t="s">
        <v>50</v>
      </c>
      <c r="E37" s="17">
        <v>2</v>
      </c>
      <c r="F37" s="17" t="s">
        <v>10</v>
      </c>
      <c r="G37" s="17" t="s">
        <v>15</v>
      </c>
      <c r="H37" s="17" t="str">
        <f t="shared" si="0"/>
        <v>Radial Atomizer</v>
      </c>
      <c r="I37" s="55">
        <f t="shared" si="1"/>
        <v>11500</v>
      </c>
      <c r="J37" s="17">
        <v>8</v>
      </c>
      <c r="K37" s="17">
        <f t="shared" si="2"/>
        <v>1</v>
      </c>
      <c r="L37" s="18">
        <f t="shared" si="3"/>
        <v>92000</v>
      </c>
      <c r="M37" s="55">
        <f t="shared" si="4"/>
        <v>4600</v>
      </c>
      <c r="N37" s="55">
        <f t="shared" si="5"/>
        <v>4800</v>
      </c>
      <c r="O37" s="55">
        <f t="shared" si="6"/>
        <v>82600</v>
      </c>
      <c r="P37" s="55">
        <f t="shared" si="7"/>
        <v>6250</v>
      </c>
      <c r="Q37" s="94">
        <f t="shared" si="8"/>
        <v>76350</v>
      </c>
    </row>
    <row r="38" spans="1:17">
      <c r="A38" s="17">
        <v>1156</v>
      </c>
      <c r="B38" s="17">
        <v>2</v>
      </c>
      <c r="C38" s="17" t="s">
        <v>26</v>
      </c>
      <c r="D38" s="17" t="s">
        <v>50</v>
      </c>
      <c r="E38" s="17">
        <v>7</v>
      </c>
      <c r="F38" s="17" t="s">
        <v>10</v>
      </c>
      <c r="G38" s="17" t="s">
        <v>15</v>
      </c>
      <c r="H38" s="17" t="str">
        <f t="shared" si="0"/>
        <v>Radial Atomizer</v>
      </c>
      <c r="I38" s="55">
        <f t="shared" si="1"/>
        <v>11500</v>
      </c>
      <c r="J38" s="17">
        <v>6</v>
      </c>
      <c r="K38" s="17">
        <f t="shared" si="2"/>
        <v>1</v>
      </c>
      <c r="L38" s="18">
        <f t="shared" si="3"/>
        <v>69000</v>
      </c>
      <c r="M38" s="55">
        <f t="shared" si="4"/>
        <v>3450</v>
      </c>
      <c r="N38" s="55">
        <f t="shared" si="5"/>
        <v>3600</v>
      </c>
      <c r="O38" s="55">
        <f t="shared" si="6"/>
        <v>61950</v>
      </c>
      <c r="P38" s="55">
        <f t="shared" si="7"/>
        <v>2727.2727272727275</v>
      </c>
      <c r="Q38" s="94">
        <f t="shared" si="8"/>
        <v>59222.727272727272</v>
      </c>
    </row>
    <row r="39" spans="1:17">
      <c r="A39" s="17">
        <v>1156</v>
      </c>
      <c r="B39" s="17">
        <v>3</v>
      </c>
      <c r="C39" s="17" t="s">
        <v>31</v>
      </c>
      <c r="D39" s="17" t="s">
        <v>50</v>
      </c>
      <c r="E39" s="17">
        <v>2</v>
      </c>
      <c r="F39" s="17" t="s">
        <v>10</v>
      </c>
      <c r="G39" s="17" t="s">
        <v>17</v>
      </c>
      <c r="H39" s="17" t="str">
        <f t="shared" si="0"/>
        <v>Half-Spar Radium Flange</v>
      </c>
      <c r="I39" s="55">
        <f t="shared" si="1"/>
        <v>1000</v>
      </c>
      <c r="J39" s="17">
        <v>10</v>
      </c>
      <c r="K39" s="17">
        <f t="shared" si="2"/>
        <v>1</v>
      </c>
      <c r="L39" s="18">
        <f t="shared" si="3"/>
        <v>10000</v>
      </c>
      <c r="M39" s="55">
        <f t="shared" si="4"/>
        <v>500</v>
      </c>
      <c r="N39" s="55">
        <f t="shared" si="5"/>
        <v>2000</v>
      </c>
      <c r="O39" s="55">
        <f t="shared" si="6"/>
        <v>7500</v>
      </c>
      <c r="P39" s="55">
        <f t="shared" si="7"/>
        <v>2000</v>
      </c>
      <c r="Q39" s="94">
        <f t="shared" si="8"/>
        <v>5500</v>
      </c>
    </row>
    <row r="40" spans="1:17">
      <c r="A40" s="17">
        <v>1165</v>
      </c>
      <c r="B40" s="17">
        <v>2</v>
      </c>
      <c r="C40" s="17" t="s">
        <v>24</v>
      </c>
      <c r="D40" s="17" t="s">
        <v>48</v>
      </c>
      <c r="E40" s="17">
        <v>4</v>
      </c>
      <c r="F40" s="17" t="s">
        <v>11</v>
      </c>
      <c r="G40" s="17" t="s">
        <v>18</v>
      </c>
      <c r="H40" s="17" t="str">
        <f t="shared" si="0"/>
        <v>Meezor Turbine Counter-Thruster</v>
      </c>
      <c r="I40" s="55">
        <f t="shared" si="1"/>
        <v>21296</v>
      </c>
      <c r="J40" s="17">
        <v>2</v>
      </c>
      <c r="K40" s="17">
        <f t="shared" si="2"/>
        <v>0</v>
      </c>
      <c r="L40" s="18">
        <f t="shared" si="3"/>
        <v>0</v>
      </c>
      <c r="M40" s="55">
        <f t="shared" si="4"/>
        <v>0</v>
      </c>
      <c r="N40" s="55">
        <f t="shared" si="5"/>
        <v>0</v>
      </c>
      <c r="O40" s="55">
        <f t="shared" si="6"/>
        <v>0</v>
      </c>
      <c r="P40" s="55">
        <f t="shared" si="7"/>
        <v>8333.3333333333339</v>
      </c>
      <c r="Q40" s="94">
        <f t="shared" si="8"/>
        <v>-8333.3333333333339</v>
      </c>
    </row>
    <row r="41" spans="1:17">
      <c r="A41" s="17">
        <v>1165</v>
      </c>
      <c r="B41" s="17">
        <v>3</v>
      </c>
      <c r="C41" s="17" t="s">
        <v>24</v>
      </c>
      <c r="D41" s="17" t="s">
        <v>50</v>
      </c>
      <c r="E41" s="17">
        <v>6</v>
      </c>
      <c r="F41" s="17" t="s">
        <v>10</v>
      </c>
      <c r="G41" s="17" t="s">
        <v>17</v>
      </c>
      <c r="H41" s="17" t="str">
        <f t="shared" si="0"/>
        <v>Half-Spar Radium Flange</v>
      </c>
      <c r="I41" s="55">
        <f t="shared" si="1"/>
        <v>1000</v>
      </c>
      <c r="J41" s="17">
        <v>13</v>
      </c>
      <c r="K41" s="17">
        <f t="shared" si="2"/>
        <v>1</v>
      </c>
      <c r="L41" s="18">
        <f t="shared" si="3"/>
        <v>13000</v>
      </c>
      <c r="M41" s="55">
        <f t="shared" si="4"/>
        <v>650</v>
      </c>
      <c r="N41" s="55">
        <f t="shared" si="5"/>
        <v>2600</v>
      </c>
      <c r="O41" s="55">
        <f t="shared" si="6"/>
        <v>9750</v>
      </c>
      <c r="P41" s="55">
        <f t="shared" si="7"/>
        <v>16666.666666666668</v>
      </c>
      <c r="Q41" s="94">
        <f t="shared" si="8"/>
        <v>-6916.6666666666679</v>
      </c>
    </row>
    <row r="42" spans="1:17">
      <c r="A42" s="17">
        <v>1169</v>
      </c>
      <c r="B42" s="17">
        <v>1</v>
      </c>
      <c r="C42" s="17" t="s">
        <v>24</v>
      </c>
      <c r="D42" s="17" t="s">
        <v>50</v>
      </c>
      <c r="E42" s="17">
        <v>7</v>
      </c>
      <c r="F42" s="17" t="s">
        <v>10</v>
      </c>
      <c r="G42" s="17" t="s">
        <v>18</v>
      </c>
      <c r="H42" s="17" t="str">
        <f t="shared" si="0"/>
        <v>Meezor Turbine Counter-Thruster</v>
      </c>
      <c r="I42" s="55">
        <f t="shared" si="1"/>
        <v>21296</v>
      </c>
      <c r="J42" s="17">
        <v>2</v>
      </c>
      <c r="K42" s="17">
        <f t="shared" si="2"/>
        <v>1</v>
      </c>
      <c r="L42" s="18">
        <f t="shared" si="3"/>
        <v>42592</v>
      </c>
      <c r="M42" s="55">
        <f t="shared" si="4"/>
        <v>4259.2</v>
      </c>
      <c r="N42" s="55">
        <f t="shared" si="5"/>
        <v>24000</v>
      </c>
      <c r="O42" s="55">
        <f t="shared" si="6"/>
        <v>14332.800000000003</v>
      </c>
      <c r="P42" s="55">
        <f t="shared" si="7"/>
        <v>6250</v>
      </c>
      <c r="Q42" s="94">
        <f t="shared" si="8"/>
        <v>8082.8000000000029</v>
      </c>
    </row>
    <row r="43" spans="1:17">
      <c r="A43" s="17">
        <v>1184</v>
      </c>
      <c r="B43" s="17">
        <v>3</v>
      </c>
      <c r="C43" s="17" t="s">
        <v>31</v>
      </c>
      <c r="D43" s="17" t="s">
        <v>46</v>
      </c>
      <c r="E43" s="17">
        <v>1</v>
      </c>
      <c r="F43" s="17" t="s">
        <v>11</v>
      </c>
      <c r="G43" s="17" t="s">
        <v>17</v>
      </c>
      <c r="H43" s="17" t="str">
        <f t="shared" si="0"/>
        <v>Half-Spar Radium Flange</v>
      </c>
      <c r="I43" s="55">
        <f t="shared" si="1"/>
        <v>1000</v>
      </c>
      <c r="J43" s="17">
        <v>9</v>
      </c>
      <c r="K43" s="17">
        <f t="shared" si="2"/>
        <v>0</v>
      </c>
      <c r="L43" s="18">
        <f t="shared" si="3"/>
        <v>0</v>
      </c>
      <c r="M43" s="55">
        <f t="shared" si="4"/>
        <v>0</v>
      </c>
      <c r="N43" s="55">
        <f t="shared" si="5"/>
        <v>0</v>
      </c>
      <c r="O43" s="55">
        <f t="shared" si="6"/>
        <v>0</v>
      </c>
      <c r="P43" s="55">
        <f t="shared" si="7"/>
        <v>2000</v>
      </c>
      <c r="Q43" s="94">
        <f t="shared" si="8"/>
        <v>-2000</v>
      </c>
    </row>
    <row r="44" spans="1:17">
      <c r="A44" s="17">
        <v>1188</v>
      </c>
      <c r="B44" s="17">
        <v>1</v>
      </c>
      <c r="C44" s="17" t="s">
        <v>24</v>
      </c>
      <c r="D44" s="17" t="s">
        <v>46</v>
      </c>
      <c r="E44" s="17">
        <v>1</v>
      </c>
      <c r="F44" s="17" t="s">
        <v>11</v>
      </c>
      <c r="G44" s="17" t="s">
        <v>18</v>
      </c>
      <c r="H44" s="17" t="str">
        <f t="shared" si="0"/>
        <v>Meezor Turbine Counter-Thruster</v>
      </c>
      <c r="I44" s="55">
        <f t="shared" si="1"/>
        <v>21296</v>
      </c>
      <c r="J44" s="17">
        <v>2</v>
      </c>
      <c r="K44" s="17">
        <f t="shared" si="2"/>
        <v>0</v>
      </c>
      <c r="L44" s="18">
        <f t="shared" si="3"/>
        <v>0</v>
      </c>
      <c r="M44" s="55">
        <f t="shared" si="4"/>
        <v>0</v>
      </c>
      <c r="N44" s="55">
        <f t="shared" si="5"/>
        <v>0</v>
      </c>
      <c r="O44" s="55">
        <f t="shared" si="6"/>
        <v>0</v>
      </c>
      <c r="P44" s="55">
        <f t="shared" si="7"/>
        <v>6250</v>
      </c>
      <c r="Q44" s="94">
        <f t="shared" si="8"/>
        <v>-6250</v>
      </c>
    </row>
    <row r="45" spans="1:17">
      <c r="A45" s="17">
        <v>1197</v>
      </c>
      <c r="B45" s="17">
        <v>2</v>
      </c>
      <c r="C45" s="17" t="s">
        <v>25</v>
      </c>
      <c r="D45" s="17" t="s">
        <v>58</v>
      </c>
      <c r="E45" s="17">
        <v>1</v>
      </c>
      <c r="F45" s="17" t="s">
        <v>11</v>
      </c>
      <c r="G45" s="17" t="s">
        <v>16</v>
      </c>
      <c r="H45" s="17" t="str">
        <f t="shared" si="0"/>
        <v>Centurion Mezzle Spark Igniter</v>
      </c>
      <c r="I45" s="55">
        <f t="shared" si="1"/>
        <v>1500</v>
      </c>
      <c r="J45" s="17">
        <v>3</v>
      </c>
      <c r="K45" s="17">
        <f t="shared" si="2"/>
        <v>0</v>
      </c>
      <c r="L45" s="18">
        <f t="shared" si="3"/>
        <v>0</v>
      </c>
      <c r="M45" s="55">
        <f t="shared" si="4"/>
        <v>0</v>
      </c>
      <c r="N45" s="55">
        <f t="shared" si="5"/>
        <v>0</v>
      </c>
      <c r="O45" s="55">
        <f t="shared" si="6"/>
        <v>0</v>
      </c>
      <c r="P45" s="55">
        <f t="shared" si="7"/>
        <v>8000</v>
      </c>
      <c r="Q45" s="94">
        <f t="shared" si="8"/>
        <v>-8000</v>
      </c>
    </row>
    <row r="46" spans="1:17">
      <c r="A46" s="17">
        <v>1197</v>
      </c>
      <c r="B46" s="17">
        <v>4</v>
      </c>
      <c r="C46" s="17" t="s">
        <v>25</v>
      </c>
      <c r="D46" s="17" t="s">
        <v>48</v>
      </c>
      <c r="E46" s="17">
        <v>3</v>
      </c>
      <c r="F46" s="17" t="s">
        <v>9</v>
      </c>
      <c r="G46" s="17" t="s">
        <v>16</v>
      </c>
      <c r="H46" s="17" t="str">
        <f t="shared" si="0"/>
        <v>Centurion Mezzle Spark Igniter</v>
      </c>
      <c r="I46" s="55">
        <f t="shared" si="1"/>
        <v>1500</v>
      </c>
      <c r="J46" s="17">
        <v>6</v>
      </c>
      <c r="K46" s="17">
        <f t="shared" si="2"/>
        <v>0.85</v>
      </c>
      <c r="L46" s="18">
        <f t="shared" si="3"/>
        <v>7650</v>
      </c>
      <c r="M46" s="55">
        <f t="shared" si="4"/>
        <v>1147.5</v>
      </c>
      <c r="N46" s="55">
        <f t="shared" si="5"/>
        <v>2040</v>
      </c>
      <c r="O46" s="55">
        <f t="shared" si="6"/>
        <v>4462.5</v>
      </c>
      <c r="P46" s="55">
        <f t="shared" si="7"/>
        <v>20000</v>
      </c>
      <c r="Q46" s="94">
        <f t="shared" si="8"/>
        <v>-15537.5</v>
      </c>
    </row>
    <row r="47" spans="1:17">
      <c r="A47" s="17">
        <v>1209</v>
      </c>
      <c r="B47" s="17">
        <v>1</v>
      </c>
      <c r="C47" s="17" t="s">
        <v>25</v>
      </c>
      <c r="D47" s="17" t="s">
        <v>58</v>
      </c>
      <c r="E47" s="17">
        <v>3</v>
      </c>
      <c r="F47" s="17" t="s">
        <v>11</v>
      </c>
      <c r="G47" s="17" t="s">
        <v>16</v>
      </c>
      <c r="H47" s="17" t="str">
        <f t="shared" si="0"/>
        <v>Centurion Mezzle Spark Igniter</v>
      </c>
      <c r="I47" s="55">
        <f t="shared" si="1"/>
        <v>1500</v>
      </c>
      <c r="J47" s="17">
        <v>3</v>
      </c>
      <c r="K47" s="17">
        <f t="shared" si="2"/>
        <v>0</v>
      </c>
      <c r="L47" s="18">
        <f t="shared" si="3"/>
        <v>0</v>
      </c>
      <c r="M47" s="55">
        <f t="shared" si="4"/>
        <v>0</v>
      </c>
      <c r="N47" s="55">
        <f t="shared" si="5"/>
        <v>0</v>
      </c>
      <c r="O47" s="55">
        <f t="shared" si="6"/>
        <v>0</v>
      </c>
      <c r="P47" s="55">
        <f t="shared" si="7"/>
        <v>12000</v>
      </c>
      <c r="Q47" s="94">
        <f t="shared" si="8"/>
        <v>-12000</v>
      </c>
    </row>
    <row r="48" spans="1:17">
      <c r="A48" s="17">
        <v>1209</v>
      </c>
      <c r="B48" s="17">
        <v>2</v>
      </c>
      <c r="C48" s="17" t="s">
        <v>31</v>
      </c>
      <c r="D48" s="17" t="s">
        <v>46</v>
      </c>
      <c r="E48" s="17">
        <v>1</v>
      </c>
      <c r="F48" s="17" t="s">
        <v>11</v>
      </c>
      <c r="G48" s="17" t="s">
        <v>17</v>
      </c>
      <c r="H48" s="17" t="str">
        <f t="shared" si="0"/>
        <v>Half-Spar Radium Flange</v>
      </c>
      <c r="I48" s="55">
        <f t="shared" si="1"/>
        <v>1000</v>
      </c>
      <c r="J48" s="17">
        <v>2</v>
      </c>
      <c r="K48" s="17">
        <f t="shared" si="2"/>
        <v>0</v>
      </c>
      <c r="L48" s="18">
        <f t="shared" si="3"/>
        <v>0</v>
      </c>
      <c r="M48" s="55">
        <f t="shared" si="4"/>
        <v>0</v>
      </c>
      <c r="N48" s="55">
        <f t="shared" si="5"/>
        <v>0</v>
      </c>
      <c r="O48" s="55">
        <f t="shared" si="6"/>
        <v>0</v>
      </c>
      <c r="P48" s="55">
        <f t="shared" si="7"/>
        <v>2500</v>
      </c>
      <c r="Q48" s="94">
        <f t="shared" si="8"/>
        <v>-2500</v>
      </c>
    </row>
    <row r="49" spans="1:17">
      <c r="A49" s="17">
        <v>1210</v>
      </c>
      <c r="B49" s="17">
        <v>4</v>
      </c>
      <c r="C49" s="17" t="s">
        <v>31</v>
      </c>
      <c r="D49" s="17" t="s">
        <v>46</v>
      </c>
      <c r="E49" s="17">
        <v>1</v>
      </c>
      <c r="F49" s="17" t="s">
        <v>9</v>
      </c>
      <c r="G49" s="17" t="s">
        <v>17</v>
      </c>
      <c r="H49" s="17" t="str">
        <f t="shared" si="0"/>
        <v>Half-Spar Radium Flange</v>
      </c>
      <c r="I49" s="55">
        <f t="shared" si="1"/>
        <v>1000</v>
      </c>
      <c r="J49" s="17">
        <v>15</v>
      </c>
      <c r="K49" s="17">
        <f t="shared" si="2"/>
        <v>0.05</v>
      </c>
      <c r="L49" s="18">
        <f t="shared" si="3"/>
        <v>750</v>
      </c>
      <c r="M49" s="55">
        <f t="shared" si="4"/>
        <v>37.5</v>
      </c>
      <c r="N49" s="55">
        <f t="shared" si="5"/>
        <v>150</v>
      </c>
      <c r="O49" s="55">
        <f t="shared" si="6"/>
        <v>562.5</v>
      </c>
      <c r="P49" s="55">
        <f t="shared" si="7"/>
        <v>2000</v>
      </c>
      <c r="Q49" s="94">
        <f t="shared" si="8"/>
        <v>-1437.5</v>
      </c>
    </row>
    <row r="50" spans="1:17">
      <c r="A50" s="17">
        <v>1210</v>
      </c>
      <c r="B50" s="17">
        <v>2</v>
      </c>
      <c r="C50" s="17" t="s">
        <v>26</v>
      </c>
      <c r="D50" s="17" t="s">
        <v>49</v>
      </c>
      <c r="E50" s="17">
        <v>4</v>
      </c>
      <c r="F50" s="17" t="s">
        <v>11</v>
      </c>
      <c r="G50" s="17" t="s">
        <v>18</v>
      </c>
      <c r="H50" s="17" t="str">
        <f t="shared" si="0"/>
        <v>Meezor Turbine Counter-Thruster</v>
      </c>
      <c r="I50" s="55">
        <f t="shared" si="1"/>
        <v>21296</v>
      </c>
      <c r="J50" s="17">
        <v>3</v>
      </c>
      <c r="K50" s="17">
        <f t="shared" si="2"/>
        <v>0</v>
      </c>
      <c r="L50" s="18">
        <f t="shared" si="3"/>
        <v>0</v>
      </c>
      <c r="M50" s="55">
        <f t="shared" si="4"/>
        <v>0</v>
      </c>
      <c r="N50" s="55">
        <f t="shared" si="5"/>
        <v>0</v>
      </c>
      <c r="O50" s="55">
        <f t="shared" si="6"/>
        <v>0</v>
      </c>
      <c r="P50" s="55">
        <f t="shared" si="7"/>
        <v>2727.2727272727275</v>
      </c>
      <c r="Q50" s="94">
        <f t="shared" si="8"/>
        <v>-2727.2727272727275</v>
      </c>
    </row>
    <row r="51" spans="1:17">
      <c r="A51" s="17">
        <v>1210</v>
      </c>
      <c r="B51" s="17">
        <v>3</v>
      </c>
      <c r="C51" s="17" t="s">
        <v>31</v>
      </c>
      <c r="D51" s="17" t="s">
        <v>50</v>
      </c>
      <c r="E51" s="17">
        <v>2</v>
      </c>
      <c r="F51" s="17" t="s">
        <v>10</v>
      </c>
      <c r="G51" s="17" t="s">
        <v>17</v>
      </c>
      <c r="H51" s="17" t="str">
        <f t="shared" si="0"/>
        <v>Half-Spar Radium Flange</v>
      </c>
      <c r="I51" s="55">
        <f t="shared" si="1"/>
        <v>1000</v>
      </c>
      <c r="J51" s="17">
        <v>6</v>
      </c>
      <c r="K51" s="17">
        <f t="shared" si="2"/>
        <v>1</v>
      </c>
      <c r="L51" s="18">
        <f t="shared" si="3"/>
        <v>6000</v>
      </c>
      <c r="M51" s="55">
        <f t="shared" si="4"/>
        <v>300</v>
      </c>
      <c r="N51" s="55">
        <f t="shared" si="5"/>
        <v>1200</v>
      </c>
      <c r="O51" s="55">
        <f t="shared" si="6"/>
        <v>4500</v>
      </c>
      <c r="P51" s="55">
        <f t="shared" si="7"/>
        <v>2000</v>
      </c>
      <c r="Q51" s="94">
        <f t="shared" si="8"/>
        <v>2500</v>
      </c>
    </row>
    <row r="52" spans="1:17">
      <c r="A52" s="17">
        <v>1220</v>
      </c>
      <c r="B52" s="17">
        <v>2</v>
      </c>
      <c r="C52" s="17" t="s">
        <v>31</v>
      </c>
      <c r="D52" s="17" t="s">
        <v>46</v>
      </c>
      <c r="E52" s="17">
        <v>1</v>
      </c>
      <c r="F52" s="17" t="s">
        <v>11</v>
      </c>
      <c r="G52" s="17" t="s">
        <v>16</v>
      </c>
      <c r="H52" s="17" t="str">
        <f t="shared" si="0"/>
        <v>Centurion Mezzle Spark Igniter</v>
      </c>
      <c r="I52" s="55">
        <f t="shared" si="1"/>
        <v>1500</v>
      </c>
      <c r="J52" s="17">
        <v>4</v>
      </c>
      <c r="K52" s="17">
        <f t="shared" si="2"/>
        <v>0</v>
      </c>
      <c r="L52" s="18">
        <f t="shared" si="3"/>
        <v>0</v>
      </c>
      <c r="M52" s="55">
        <f t="shared" si="4"/>
        <v>0</v>
      </c>
      <c r="N52" s="55">
        <f t="shared" si="5"/>
        <v>0</v>
      </c>
      <c r="O52" s="55">
        <f t="shared" si="6"/>
        <v>0</v>
      </c>
      <c r="P52" s="55">
        <f t="shared" si="7"/>
        <v>2500</v>
      </c>
      <c r="Q52" s="94">
        <f t="shared" si="8"/>
        <v>-2500</v>
      </c>
    </row>
    <row r="53" spans="1:17">
      <c r="A53" s="17">
        <v>1239</v>
      </c>
      <c r="B53" s="17">
        <v>2</v>
      </c>
      <c r="C53" s="17" t="s">
        <v>26</v>
      </c>
      <c r="D53" s="17" t="s">
        <v>49</v>
      </c>
      <c r="E53" s="17">
        <v>6</v>
      </c>
      <c r="F53" s="17" t="s">
        <v>11</v>
      </c>
      <c r="G53" s="17" t="s">
        <v>16</v>
      </c>
      <c r="H53" s="17" t="str">
        <f t="shared" si="0"/>
        <v>Centurion Mezzle Spark Igniter</v>
      </c>
      <c r="I53" s="55">
        <f t="shared" si="1"/>
        <v>1500</v>
      </c>
      <c r="J53" s="17">
        <v>4</v>
      </c>
      <c r="K53" s="17">
        <f t="shared" si="2"/>
        <v>0</v>
      </c>
      <c r="L53" s="18">
        <f t="shared" si="3"/>
        <v>0</v>
      </c>
      <c r="M53" s="55">
        <f t="shared" si="4"/>
        <v>0</v>
      </c>
      <c r="N53" s="55">
        <f t="shared" si="5"/>
        <v>0</v>
      </c>
      <c r="O53" s="55">
        <f t="shared" si="6"/>
        <v>0</v>
      </c>
      <c r="P53" s="55">
        <f t="shared" si="7"/>
        <v>2727.2727272727275</v>
      </c>
      <c r="Q53" s="94">
        <f t="shared" si="8"/>
        <v>-2727.2727272727275</v>
      </c>
    </row>
    <row r="54" spans="1:17">
      <c r="A54" s="17">
        <v>1243</v>
      </c>
      <c r="B54" s="17">
        <v>1</v>
      </c>
      <c r="C54" s="17" t="s">
        <v>31</v>
      </c>
      <c r="D54" s="17" t="s">
        <v>46</v>
      </c>
      <c r="E54" s="17">
        <v>1</v>
      </c>
      <c r="F54" s="17" t="s">
        <v>11</v>
      </c>
      <c r="G54" s="17" t="s">
        <v>16</v>
      </c>
      <c r="H54" s="17" t="str">
        <f t="shared" si="0"/>
        <v>Centurion Mezzle Spark Igniter</v>
      </c>
      <c r="I54" s="55">
        <f t="shared" si="1"/>
        <v>1500</v>
      </c>
      <c r="J54" s="17">
        <v>5</v>
      </c>
      <c r="K54" s="17">
        <f t="shared" si="2"/>
        <v>0</v>
      </c>
      <c r="L54" s="18">
        <f t="shared" si="3"/>
        <v>0</v>
      </c>
      <c r="M54" s="55">
        <f t="shared" si="4"/>
        <v>0</v>
      </c>
      <c r="N54" s="55">
        <f t="shared" si="5"/>
        <v>0</v>
      </c>
      <c r="O54" s="55">
        <f t="shared" si="6"/>
        <v>0</v>
      </c>
      <c r="P54" s="55">
        <f t="shared" si="7"/>
        <v>6250</v>
      </c>
      <c r="Q54" s="94">
        <f t="shared" si="8"/>
        <v>-6250</v>
      </c>
    </row>
    <row r="55" spans="1:17">
      <c r="A55" s="17">
        <v>1243</v>
      </c>
      <c r="B55" s="17">
        <v>4</v>
      </c>
      <c r="C55" s="17" t="s">
        <v>31</v>
      </c>
      <c r="D55" s="17" t="s">
        <v>46</v>
      </c>
      <c r="E55" s="17">
        <v>1</v>
      </c>
      <c r="F55" s="17" t="s">
        <v>9</v>
      </c>
      <c r="G55" s="17" t="s">
        <v>15</v>
      </c>
      <c r="H55" s="17" t="str">
        <f t="shared" si="0"/>
        <v>Radial Atomizer</v>
      </c>
      <c r="I55" s="55">
        <f t="shared" si="1"/>
        <v>11500</v>
      </c>
      <c r="J55" s="17">
        <v>3</v>
      </c>
      <c r="K55" s="17">
        <f t="shared" si="2"/>
        <v>0.05</v>
      </c>
      <c r="L55" s="18">
        <f t="shared" si="3"/>
        <v>1725</v>
      </c>
      <c r="M55" s="55">
        <f t="shared" si="4"/>
        <v>86.25</v>
      </c>
      <c r="N55" s="55">
        <f t="shared" si="5"/>
        <v>90</v>
      </c>
      <c r="O55" s="55">
        <f t="shared" si="6"/>
        <v>1548.75</v>
      </c>
      <c r="P55" s="55">
        <f t="shared" si="7"/>
        <v>2000</v>
      </c>
      <c r="Q55" s="94">
        <f t="shared" si="8"/>
        <v>-451.25</v>
      </c>
    </row>
    <row r="56" spans="1:17">
      <c r="A56" s="17">
        <v>1243</v>
      </c>
      <c r="B56" s="17">
        <v>2</v>
      </c>
      <c r="C56" s="17" t="s">
        <v>24</v>
      </c>
      <c r="D56" s="17" t="s">
        <v>58</v>
      </c>
      <c r="E56" s="17">
        <v>4</v>
      </c>
      <c r="F56" s="17" t="s">
        <v>11</v>
      </c>
      <c r="G56" s="17" t="s">
        <v>17</v>
      </c>
      <c r="H56" s="17" t="str">
        <f t="shared" si="0"/>
        <v>Half-Spar Radium Flange</v>
      </c>
      <c r="I56" s="55">
        <f t="shared" si="1"/>
        <v>1000</v>
      </c>
      <c r="J56" s="17">
        <v>3</v>
      </c>
      <c r="K56" s="17">
        <f t="shared" si="2"/>
        <v>0</v>
      </c>
      <c r="L56" s="18">
        <f t="shared" si="3"/>
        <v>0</v>
      </c>
      <c r="M56" s="55">
        <f t="shared" si="4"/>
        <v>0</v>
      </c>
      <c r="N56" s="55">
        <f t="shared" si="5"/>
        <v>0</v>
      </c>
      <c r="O56" s="55">
        <f t="shared" si="6"/>
        <v>0</v>
      </c>
      <c r="P56" s="55">
        <f t="shared" si="7"/>
        <v>8333.3333333333339</v>
      </c>
      <c r="Q56" s="94">
        <f t="shared" si="8"/>
        <v>-8333.3333333333339</v>
      </c>
    </row>
    <row r="57" spans="1:17">
      <c r="A57" s="17">
        <v>1243</v>
      </c>
      <c r="B57" s="17">
        <v>3</v>
      </c>
      <c r="C57" s="17" t="s">
        <v>26</v>
      </c>
      <c r="D57" s="17" t="s">
        <v>49</v>
      </c>
      <c r="E57" s="17">
        <v>6</v>
      </c>
      <c r="F57" s="17" t="s">
        <v>11</v>
      </c>
      <c r="G57" s="17" t="s">
        <v>18</v>
      </c>
      <c r="H57" s="17" t="str">
        <f t="shared" si="0"/>
        <v>Meezor Turbine Counter-Thruster</v>
      </c>
      <c r="I57" s="55">
        <f t="shared" si="1"/>
        <v>21296</v>
      </c>
      <c r="J57" s="17">
        <v>3</v>
      </c>
      <c r="K57" s="17">
        <f t="shared" si="2"/>
        <v>0</v>
      </c>
      <c r="L57" s="18">
        <f t="shared" si="3"/>
        <v>0</v>
      </c>
      <c r="M57" s="55">
        <f t="shared" si="4"/>
        <v>0</v>
      </c>
      <c r="N57" s="55">
        <f t="shared" si="5"/>
        <v>0</v>
      </c>
      <c r="O57" s="55">
        <f t="shared" si="6"/>
        <v>0</v>
      </c>
      <c r="P57" s="55">
        <f t="shared" si="7"/>
        <v>7500</v>
      </c>
      <c r="Q57" s="94">
        <f t="shared" si="8"/>
        <v>-7500</v>
      </c>
    </row>
    <row r="58" spans="1:17">
      <c r="A58" s="17">
        <v>1248</v>
      </c>
      <c r="B58" s="17">
        <v>1</v>
      </c>
      <c r="C58" s="17" t="s">
        <v>31</v>
      </c>
      <c r="D58" s="17" t="s">
        <v>47</v>
      </c>
      <c r="E58" s="17">
        <v>1</v>
      </c>
      <c r="F58" s="17" t="s">
        <v>11</v>
      </c>
      <c r="G58" s="17" t="s">
        <v>16</v>
      </c>
      <c r="H58" s="17" t="str">
        <f t="shared" si="0"/>
        <v>Centurion Mezzle Spark Igniter</v>
      </c>
      <c r="I58" s="55">
        <f t="shared" si="1"/>
        <v>1500</v>
      </c>
      <c r="J58" s="17">
        <v>5</v>
      </c>
      <c r="K58" s="17">
        <f t="shared" si="2"/>
        <v>0</v>
      </c>
      <c r="L58" s="18">
        <f t="shared" si="3"/>
        <v>0</v>
      </c>
      <c r="M58" s="55">
        <f t="shared" si="4"/>
        <v>0</v>
      </c>
      <c r="N58" s="55">
        <f t="shared" si="5"/>
        <v>0</v>
      </c>
      <c r="O58" s="55">
        <f t="shared" si="6"/>
        <v>0</v>
      </c>
      <c r="P58" s="55">
        <f t="shared" si="7"/>
        <v>6250</v>
      </c>
      <c r="Q58" s="94">
        <f t="shared" si="8"/>
        <v>-6250</v>
      </c>
    </row>
    <row r="59" spans="1:17">
      <c r="A59" s="17">
        <v>1252</v>
      </c>
      <c r="B59" s="17">
        <v>3</v>
      </c>
      <c r="C59" s="17" t="s">
        <v>31</v>
      </c>
      <c r="D59" s="17" t="s">
        <v>46</v>
      </c>
      <c r="E59" s="17">
        <v>1</v>
      </c>
      <c r="F59" s="17" t="s">
        <v>11</v>
      </c>
      <c r="G59" s="17" t="s">
        <v>18</v>
      </c>
      <c r="H59" s="17" t="str">
        <f t="shared" si="0"/>
        <v>Meezor Turbine Counter-Thruster</v>
      </c>
      <c r="I59" s="55">
        <f t="shared" si="1"/>
        <v>21296</v>
      </c>
      <c r="J59" s="17">
        <v>2</v>
      </c>
      <c r="K59" s="17">
        <f t="shared" si="2"/>
        <v>0</v>
      </c>
      <c r="L59" s="18">
        <f t="shared" si="3"/>
        <v>0</v>
      </c>
      <c r="M59" s="55">
        <f t="shared" si="4"/>
        <v>0</v>
      </c>
      <c r="N59" s="55">
        <f t="shared" si="5"/>
        <v>0</v>
      </c>
      <c r="O59" s="55">
        <f t="shared" si="6"/>
        <v>0</v>
      </c>
      <c r="P59" s="55">
        <f t="shared" si="7"/>
        <v>2000</v>
      </c>
      <c r="Q59" s="94">
        <f t="shared" si="8"/>
        <v>-2000</v>
      </c>
    </row>
    <row r="60" spans="1:17">
      <c r="A60" s="17">
        <v>1252</v>
      </c>
      <c r="B60" s="17">
        <v>2</v>
      </c>
      <c r="C60" s="17" t="s">
        <v>25</v>
      </c>
      <c r="D60" s="17" t="s">
        <v>58</v>
      </c>
      <c r="E60" s="17">
        <v>1</v>
      </c>
      <c r="F60" s="17" t="s">
        <v>11</v>
      </c>
      <c r="G60" s="17" t="s">
        <v>16</v>
      </c>
      <c r="H60" s="17" t="str">
        <f t="shared" si="0"/>
        <v>Centurion Mezzle Spark Igniter</v>
      </c>
      <c r="I60" s="55">
        <f t="shared" si="1"/>
        <v>1500</v>
      </c>
      <c r="J60" s="17">
        <v>5</v>
      </c>
      <c r="K60" s="17">
        <f t="shared" si="2"/>
        <v>0</v>
      </c>
      <c r="L60" s="18">
        <f t="shared" si="3"/>
        <v>0</v>
      </c>
      <c r="M60" s="55">
        <f t="shared" si="4"/>
        <v>0</v>
      </c>
      <c r="N60" s="55">
        <f t="shared" si="5"/>
        <v>0</v>
      </c>
      <c r="O60" s="55">
        <f t="shared" si="6"/>
        <v>0</v>
      </c>
      <c r="P60" s="55">
        <f t="shared" si="7"/>
        <v>8000</v>
      </c>
      <c r="Q60" s="94">
        <f t="shared" si="8"/>
        <v>-8000</v>
      </c>
    </row>
    <row r="61" spans="1:17">
      <c r="A61" s="17">
        <v>1256</v>
      </c>
      <c r="B61" s="17">
        <v>4</v>
      </c>
      <c r="C61" s="17" t="s">
        <v>31</v>
      </c>
      <c r="D61" s="17" t="s">
        <v>46</v>
      </c>
      <c r="E61" s="17">
        <v>1</v>
      </c>
      <c r="F61" s="17" t="s">
        <v>9</v>
      </c>
      <c r="G61" s="17" t="s">
        <v>16</v>
      </c>
      <c r="H61" s="17" t="str">
        <f t="shared" si="0"/>
        <v>Centurion Mezzle Spark Igniter</v>
      </c>
      <c r="I61" s="55">
        <f t="shared" si="1"/>
        <v>1500</v>
      </c>
      <c r="J61" s="17">
        <v>5</v>
      </c>
      <c r="K61" s="17">
        <f t="shared" si="2"/>
        <v>0.05</v>
      </c>
      <c r="L61" s="18">
        <f t="shared" si="3"/>
        <v>375</v>
      </c>
      <c r="M61" s="55">
        <f t="shared" si="4"/>
        <v>56.25</v>
      </c>
      <c r="N61" s="55">
        <f t="shared" si="5"/>
        <v>100</v>
      </c>
      <c r="O61" s="55">
        <f t="shared" si="6"/>
        <v>218.75</v>
      </c>
      <c r="P61" s="55">
        <f t="shared" si="7"/>
        <v>2000</v>
      </c>
      <c r="Q61" s="94">
        <f t="shared" si="8"/>
        <v>-1781.25</v>
      </c>
    </row>
    <row r="62" spans="1:17">
      <c r="A62" s="17">
        <v>1256</v>
      </c>
      <c r="B62" s="17">
        <v>3</v>
      </c>
      <c r="C62" s="17" t="s">
        <v>25</v>
      </c>
      <c r="D62" s="17" t="s">
        <v>58</v>
      </c>
      <c r="E62" s="17">
        <v>3</v>
      </c>
      <c r="F62" s="17" t="s">
        <v>11</v>
      </c>
      <c r="G62" s="17" t="s">
        <v>15</v>
      </c>
      <c r="H62" s="17" t="str">
        <f t="shared" si="0"/>
        <v>Radial Atomizer</v>
      </c>
      <c r="I62" s="55">
        <f t="shared" si="1"/>
        <v>11500</v>
      </c>
      <c r="J62" s="17">
        <v>5</v>
      </c>
      <c r="K62" s="17">
        <f t="shared" si="2"/>
        <v>0</v>
      </c>
      <c r="L62" s="18">
        <f t="shared" si="3"/>
        <v>0</v>
      </c>
      <c r="M62" s="55">
        <f t="shared" si="4"/>
        <v>0</v>
      </c>
      <c r="N62" s="55">
        <f t="shared" si="5"/>
        <v>0</v>
      </c>
      <c r="O62" s="55">
        <f t="shared" si="6"/>
        <v>0</v>
      </c>
      <c r="P62" s="55">
        <f t="shared" si="7"/>
        <v>9230.7692307692305</v>
      </c>
      <c r="Q62" s="94">
        <f t="shared" si="8"/>
        <v>-9230.7692307692305</v>
      </c>
    </row>
    <row r="63" spans="1:17">
      <c r="A63" s="17">
        <v>1264</v>
      </c>
      <c r="B63" s="17">
        <v>1</v>
      </c>
      <c r="C63" s="17" t="s">
        <v>31</v>
      </c>
      <c r="D63" s="17" t="s">
        <v>47</v>
      </c>
      <c r="E63" s="17">
        <v>1</v>
      </c>
      <c r="F63" s="17" t="s">
        <v>11</v>
      </c>
      <c r="G63" s="17" t="s">
        <v>17</v>
      </c>
      <c r="H63" s="17" t="str">
        <f t="shared" si="0"/>
        <v>Half-Spar Radium Flange</v>
      </c>
      <c r="I63" s="55">
        <f t="shared" si="1"/>
        <v>1000</v>
      </c>
      <c r="J63" s="17">
        <v>5</v>
      </c>
      <c r="K63" s="17">
        <f t="shared" si="2"/>
        <v>0</v>
      </c>
      <c r="L63" s="18">
        <f t="shared" si="3"/>
        <v>0</v>
      </c>
      <c r="M63" s="55">
        <f t="shared" si="4"/>
        <v>0</v>
      </c>
      <c r="N63" s="55">
        <f t="shared" si="5"/>
        <v>0</v>
      </c>
      <c r="O63" s="55">
        <f t="shared" si="6"/>
        <v>0</v>
      </c>
      <c r="P63" s="55">
        <f t="shared" si="7"/>
        <v>6250</v>
      </c>
      <c r="Q63" s="94">
        <f t="shared" si="8"/>
        <v>-6250</v>
      </c>
    </row>
    <row r="64" spans="1:17">
      <c r="A64" s="17">
        <v>1264</v>
      </c>
      <c r="B64" s="17">
        <v>4</v>
      </c>
      <c r="C64" s="17" t="s">
        <v>26</v>
      </c>
      <c r="D64" s="17" t="s">
        <v>58</v>
      </c>
      <c r="E64" s="17">
        <v>2</v>
      </c>
      <c r="F64" s="17" t="s">
        <v>9</v>
      </c>
      <c r="G64" s="17" t="s">
        <v>15</v>
      </c>
      <c r="H64" s="17" t="str">
        <f t="shared" si="0"/>
        <v>Radial Atomizer</v>
      </c>
      <c r="I64" s="55">
        <f t="shared" si="1"/>
        <v>11500</v>
      </c>
      <c r="J64" s="17">
        <v>3</v>
      </c>
      <c r="K64" s="17">
        <f t="shared" si="2"/>
        <v>0.5</v>
      </c>
      <c r="L64" s="18">
        <f t="shared" si="3"/>
        <v>17250</v>
      </c>
      <c r="M64" s="55">
        <f t="shared" si="4"/>
        <v>862.5</v>
      </c>
      <c r="N64" s="55">
        <f t="shared" si="5"/>
        <v>900</v>
      </c>
      <c r="O64" s="55">
        <f t="shared" si="6"/>
        <v>15487.5</v>
      </c>
      <c r="P64" s="55">
        <f t="shared" si="7"/>
        <v>4285.7142857142853</v>
      </c>
      <c r="Q64" s="94">
        <f t="shared" si="8"/>
        <v>11201.785714285714</v>
      </c>
    </row>
    <row r="65" spans="1:17">
      <c r="A65" s="17">
        <v>1264</v>
      </c>
      <c r="B65" s="17">
        <v>2</v>
      </c>
      <c r="C65" s="17" t="s">
        <v>31</v>
      </c>
      <c r="D65" s="17" t="s">
        <v>50</v>
      </c>
      <c r="E65" s="17">
        <v>1</v>
      </c>
      <c r="F65" s="17" t="s">
        <v>10</v>
      </c>
      <c r="G65" s="17" t="s">
        <v>17</v>
      </c>
      <c r="H65" s="17" t="str">
        <f t="shared" si="0"/>
        <v>Half-Spar Radium Flange</v>
      </c>
      <c r="I65" s="55">
        <f t="shared" si="1"/>
        <v>1000</v>
      </c>
      <c r="J65" s="17">
        <v>8</v>
      </c>
      <c r="K65" s="17">
        <f t="shared" si="2"/>
        <v>1</v>
      </c>
      <c r="L65" s="18">
        <f t="shared" si="3"/>
        <v>8000</v>
      </c>
      <c r="M65" s="55">
        <f t="shared" si="4"/>
        <v>400</v>
      </c>
      <c r="N65" s="55">
        <f t="shared" si="5"/>
        <v>1600</v>
      </c>
      <c r="O65" s="55">
        <f t="shared" si="6"/>
        <v>6000</v>
      </c>
      <c r="P65" s="55">
        <f t="shared" si="7"/>
        <v>2500</v>
      </c>
      <c r="Q65" s="94">
        <f t="shared" si="8"/>
        <v>3500</v>
      </c>
    </row>
    <row r="66" spans="1:17">
      <c r="A66" s="17">
        <v>1270</v>
      </c>
      <c r="B66" s="17">
        <v>1</v>
      </c>
      <c r="C66" s="17" t="s">
        <v>24</v>
      </c>
      <c r="D66" s="17" t="s">
        <v>58</v>
      </c>
      <c r="E66" s="17">
        <v>3</v>
      </c>
      <c r="F66" s="17" t="s">
        <v>11</v>
      </c>
      <c r="G66" s="17" t="s">
        <v>17</v>
      </c>
      <c r="H66" s="17" t="str">
        <f t="shared" ref="H66:H129" si="9">LOOKUP($G66,ProductProdID,ProductProdName)</f>
        <v>Half-Spar Radium Flange</v>
      </c>
      <c r="I66" s="55">
        <f t="shared" ref="I66:I129" si="10">INDEX(ProductPrice,MATCH($G66,ProductProdID,0))</f>
        <v>1000</v>
      </c>
      <c r="J66" s="17">
        <v>5</v>
      </c>
      <c r="K66" s="17">
        <f t="shared" ref="K66:K129" si="11">IF(F66=StatusLose,0,INDEX(ProcessStageProb,MATCH($D66,ProcessStageName,0)))</f>
        <v>0</v>
      </c>
      <c r="L66" s="18">
        <f t="shared" ref="L66:L129" si="12">I66*J66*K66</f>
        <v>0</v>
      </c>
      <c r="M66" s="55">
        <f t="shared" ref="M66:M129" si="13">INDEX(ProductCommRate,MATCH($G66,ProductProdID,0))*$L66</f>
        <v>0</v>
      </c>
      <c r="N66" s="55">
        <f t="shared" ref="N66:N129" si="14">INDEX(ProductUnitCost,MATCH($G66,ProductProdID,0))*$J66*$K66</f>
        <v>0</v>
      </c>
      <c r="O66" s="55">
        <f t="shared" ref="O66:O129" si="15">L66-M66-N66</f>
        <v>0</v>
      </c>
      <c r="P66" s="55">
        <f t="shared" ref="P66:P129" si="16">VLOOKUP(C66,LeadSourceTable,(B66+1),FALSE)/COUNTIFS(TransactionsQuarter,B66,TransactionsLeadSource,C66)</f>
        <v>6250</v>
      </c>
      <c r="Q66" s="94">
        <f t="shared" ref="Q66:Q129" si="17">L66-M66-N66-P66</f>
        <v>-6250</v>
      </c>
    </row>
    <row r="67" spans="1:17">
      <c r="A67" s="17">
        <v>1280</v>
      </c>
      <c r="B67" s="17">
        <v>2</v>
      </c>
      <c r="C67" s="17" t="s">
        <v>31</v>
      </c>
      <c r="D67" s="17" t="s">
        <v>46</v>
      </c>
      <c r="E67" s="17">
        <v>1</v>
      </c>
      <c r="F67" s="17" t="s">
        <v>11</v>
      </c>
      <c r="G67" s="17" t="s">
        <v>16</v>
      </c>
      <c r="H67" s="17" t="str">
        <f t="shared" si="9"/>
        <v>Centurion Mezzle Spark Igniter</v>
      </c>
      <c r="I67" s="55">
        <f t="shared" si="10"/>
        <v>1500</v>
      </c>
      <c r="J67" s="17">
        <v>6</v>
      </c>
      <c r="K67" s="17">
        <f t="shared" si="11"/>
        <v>0</v>
      </c>
      <c r="L67" s="18">
        <f t="shared" si="12"/>
        <v>0</v>
      </c>
      <c r="M67" s="55">
        <f t="shared" si="13"/>
        <v>0</v>
      </c>
      <c r="N67" s="55">
        <f t="shared" si="14"/>
        <v>0</v>
      </c>
      <c r="O67" s="55">
        <f t="shared" si="15"/>
        <v>0</v>
      </c>
      <c r="P67" s="55">
        <f t="shared" si="16"/>
        <v>2500</v>
      </c>
      <c r="Q67" s="94">
        <f t="shared" si="17"/>
        <v>-2500</v>
      </c>
    </row>
    <row r="68" spans="1:17">
      <c r="A68" s="17">
        <v>1295</v>
      </c>
      <c r="B68" s="17">
        <v>4</v>
      </c>
      <c r="C68" s="17" t="s">
        <v>24</v>
      </c>
      <c r="D68" s="17" t="s">
        <v>46</v>
      </c>
      <c r="E68" s="17">
        <v>1</v>
      </c>
      <c r="F68" s="17" t="s">
        <v>9</v>
      </c>
      <c r="G68" s="17" t="s">
        <v>15</v>
      </c>
      <c r="H68" s="17" t="str">
        <f t="shared" si="9"/>
        <v>Radial Atomizer</v>
      </c>
      <c r="I68" s="55">
        <f t="shared" si="10"/>
        <v>11500</v>
      </c>
      <c r="J68" s="17">
        <v>4</v>
      </c>
      <c r="K68" s="17">
        <f t="shared" si="11"/>
        <v>0.05</v>
      </c>
      <c r="L68" s="18">
        <f t="shared" si="12"/>
        <v>2300</v>
      </c>
      <c r="M68" s="55">
        <f t="shared" si="13"/>
        <v>115</v>
      </c>
      <c r="N68" s="55">
        <f t="shared" si="14"/>
        <v>120</v>
      </c>
      <c r="O68" s="55">
        <f t="shared" si="15"/>
        <v>2065</v>
      </c>
      <c r="P68" s="55">
        <f t="shared" si="16"/>
        <v>4166.666666666667</v>
      </c>
      <c r="Q68" s="94">
        <f t="shared" si="17"/>
        <v>-2101.666666666667</v>
      </c>
    </row>
    <row r="69" spans="1:17">
      <c r="A69" s="17">
        <v>1295</v>
      </c>
      <c r="B69" s="17">
        <v>2</v>
      </c>
      <c r="C69" s="17" t="s">
        <v>25</v>
      </c>
      <c r="D69" s="17" t="s">
        <v>58</v>
      </c>
      <c r="E69" s="17">
        <v>3</v>
      </c>
      <c r="F69" s="17" t="s">
        <v>11</v>
      </c>
      <c r="G69" s="17" t="s">
        <v>15</v>
      </c>
      <c r="H69" s="17" t="str">
        <f t="shared" si="9"/>
        <v>Radial Atomizer</v>
      </c>
      <c r="I69" s="55">
        <f t="shared" si="10"/>
        <v>11500</v>
      </c>
      <c r="J69" s="17">
        <v>6</v>
      </c>
      <c r="K69" s="17">
        <f t="shared" si="11"/>
        <v>0</v>
      </c>
      <c r="L69" s="18">
        <f t="shared" si="12"/>
        <v>0</v>
      </c>
      <c r="M69" s="55">
        <f t="shared" si="13"/>
        <v>0</v>
      </c>
      <c r="N69" s="55">
        <f t="shared" si="14"/>
        <v>0</v>
      </c>
      <c r="O69" s="55">
        <f t="shared" si="15"/>
        <v>0</v>
      </c>
      <c r="P69" s="55">
        <f t="shared" si="16"/>
        <v>8000</v>
      </c>
      <c r="Q69" s="94">
        <f t="shared" si="17"/>
        <v>-8000</v>
      </c>
    </row>
    <row r="70" spans="1:17">
      <c r="A70" s="17">
        <v>1295</v>
      </c>
      <c r="B70" s="17">
        <v>3</v>
      </c>
      <c r="C70" s="17" t="s">
        <v>25</v>
      </c>
      <c r="D70" s="17" t="s">
        <v>58</v>
      </c>
      <c r="E70" s="17">
        <v>4</v>
      </c>
      <c r="F70" s="17" t="s">
        <v>11</v>
      </c>
      <c r="G70" s="17" t="s">
        <v>16</v>
      </c>
      <c r="H70" s="17" t="str">
        <f t="shared" si="9"/>
        <v>Centurion Mezzle Spark Igniter</v>
      </c>
      <c r="I70" s="55">
        <f t="shared" si="10"/>
        <v>1500</v>
      </c>
      <c r="J70" s="17">
        <v>2</v>
      </c>
      <c r="K70" s="17">
        <f t="shared" si="11"/>
        <v>0</v>
      </c>
      <c r="L70" s="18">
        <f t="shared" si="12"/>
        <v>0</v>
      </c>
      <c r="M70" s="55">
        <f t="shared" si="13"/>
        <v>0</v>
      </c>
      <c r="N70" s="55">
        <f t="shared" si="14"/>
        <v>0</v>
      </c>
      <c r="O70" s="55">
        <f t="shared" si="15"/>
        <v>0</v>
      </c>
      <c r="P70" s="55">
        <f t="shared" si="16"/>
        <v>9230.7692307692305</v>
      </c>
      <c r="Q70" s="94">
        <f t="shared" si="17"/>
        <v>-9230.7692307692305</v>
      </c>
    </row>
    <row r="71" spans="1:17">
      <c r="A71" s="17">
        <v>1300</v>
      </c>
      <c r="B71" s="17">
        <v>4</v>
      </c>
      <c r="C71" s="17" t="s">
        <v>31</v>
      </c>
      <c r="D71" s="17" t="s">
        <v>58</v>
      </c>
      <c r="E71" s="17">
        <v>2</v>
      </c>
      <c r="F71" s="17" t="s">
        <v>11</v>
      </c>
      <c r="G71" s="17" t="s">
        <v>15</v>
      </c>
      <c r="H71" s="17" t="str">
        <f t="shared" si="9"/>
        <v>Radial Atomizer</v>
      </c>
      <c r="I71" s="55">
        <f t="shared" si="10"/>
        <v>11500</v>
      </c>
      <c r="J71" s="17">
        <v>4</v>
      </c>
      <c r="K71" s="17">
        <f t="shared" si="11"/>
        <v>0</v>
      </c>
      <c r="L71" s="18">
        <f t="shared" si="12"/>
        <v>0</v>
      </c>
      <c r="M71" s="55">
        <f t="shared" si="13"/>
        <v>0</v>
      </c>
      <c r="N71" s="55">
        <f t="shared" si="14"/>
        <v>0</v>
      </c>
      <c r="O71" s="55">
        <f t="shared" si="15"/>
        <v>0</v>
      </c>
      <c r="P71" s="55">
        <f t="shared" si="16"/>
        <v>2000</v>
      </c>
      <c r="Q71" s="94">
        <f t="shared" si="17"/>
        <v>-2000</v>
      </c>
    </row>
    <row r="72" spans="1:17">
      <c r="A72" s="17">
        <v>1300</v>
      </c>
      <c r="B72" s="17">
        <v>2</v>
      </c>
      <c r="C72" s="17" t="s">
        <v>25</v>
      </c>
      <c r="D72" s="17" t="s">
        <v>58</v>
      </c>
      <c r="E72" s="17">
        <v>3</v>
      </c>
      <c r="F72" s="17" t="s">
        <v>11</v>
      </c>
      <c r="G72" s="17" t="s">
        <v>16</v>
      </c>
      <c r="H72" s="17" t="str">
        <f t="shared" si="9"/>
        <v>Centurion Mezzle Spark Igniter</v>
      </c>
      <c r="I72" s="55">
        <f t="shared" si="10"/>
        <v>1500</v>
      </c>
      <c r="J72" s="17">
        <v>6</v>
      </c>
      <c r="K72" s="17">
        <f t="shared" si="11"/>
        <v>0</v>
      </c>
      <c r="L72" s="18">
        <f t="shared" si="12"/>
        <v>0</v>
      </c>
      <c r="M72" s="55">
        <f t="shared" si="13"/>
        <v>0</v>
      </c>
      <c r="N72" s="55">
        <f t="shared" si="14"/>
        <v>0</v>
      </c>
      <c r="O72" s="55">
        <f t="shared" si="15"/>
        <v>0</v>
      </c>
      <c r="P72" s="55">
        <f t="shared" si="16"/>
        <v>8000</v>
      </c>
      <c r="Q72" s="94">
        <f t="shared" si="17"/>
        <v>-8000</v>
      </c>
    </row>
    <row r="73" spans="1:17">
      <c r="A73" s="17">
        <v>1300</v>
      </c>
      <c r="B73" s="17">
        <v>3</v>
      </c>
      <c r="C73" s="17" t="s">
        <v>24</v>
      </c>
      <c r="D73" s="17" t="s">
        <v>58</v>
      </c>
      <c r="E73" s="17">
        <v>4</v>
      </c>
      <c r="F73" s="17" t="s">
        <v>11</v>
      </c>
      <c r="G73" s="17" t="s">
        <v>15</v>
      </c>
      <c r="H73" s="17" t="str">
        <f t="shared" si="9"/>
        <v>Radial Atomizer</v>
      </c>
      <c r="I73" s="55">
        <f t="shared" si="10"/>
        <v>11500</v>
      </c>
      <c r="J73" s="17">
        <v>2</v>
      </c>
      <c r="K73" s="17">
        <f t="shared" si="11"/>
        <v>0</v>
      </c>
      <c r="L73" s="18">
        <f t="shared" si="12"/>
        <v>0</v>
      </c>
      <c r="M73" s="55">
        <f t="shared" si="13"/>
        <v>0</v>
      </c>
      <c r="N73" s="55">
        <f t="shared" si="14"/>
        <v>0</v>
      </c>
      <c r="O73" s="55">
        <f t="shared" si="15"/>
        <v>0</v>
      </c>
      <c r="P73" s="55">
        <f t="shared" si="16"/>
        <v>16666.666666666668</v>
      </c>
      <c r="Q73" s="94">
        <f t="shared" si="17"/>
        <v>-16666.666666666668</v>
      </c>
    </row>
    <row r="74" spans="1:17">
      <c r="A74" s="17">
        <v>1307</v>
      </c>
      <c r="B74" s="17">
        <v>1</v>
      </c>
      <c r="C74" s="17" t="s">
        <v>25</v>
      </c>
      <c r="D74" s="17" t="s">
        <v>58</v>
      </c>
      <c r="E74" s="17">
        <v>3</v>
      </c>
      <c r="F74" s="17" t="s">
        <v>11</v>
      </c>
      <c r="G74" s="17" t="s">
        <v>15</v>
      </c>
      <c r="H74" s="17" t="str">
        <f t="shared" si="9"/>
        <v>Radial Atomizer</v>
      </c>
      <c r="I74" s="55">
        <f t="shared" si="10"/>
        <v>11500</v>
      </c>
      <c r="J74" s="17">
        <v>6</v>
      </c>
      <c r="K74" s="17">
        <f t="shared" si="11"/>
        <v>0</v>
      </c>
      <c r="L74" s="18">
        <f t="shared" si="12"/>
        <v>0</v>
      </c>
      <c r="M74" s="55">
        <f t="shared" si="13"/>
        <v>0</v>
      </c>
      <c r="N74" s="55">
        <f t="shared" si="14"/>
        <v>0</v>
      </c>
      <c r="O74" s="55">
        <f t="shared" si="15"/>
        <v>0</v>
      </c>
      <c r="P74" s="55">
        <f t="shared" si="16"/>
        <v>12000</v>
      </c>
      <c r="Q74" s="94">
        <f t="shared" si="17"/>
        <v>-12000</v>
      </c>
    </row>
    <row r="75" spans="1:17">
      <c r="A75" s="17">
        <v>1317</v>
      </c>
      <c r="B75" s="17">
        <v>4</v>
      </c>
      <c r="C75" s="17" t="s">
        <v>24</v>
      </c>
      <c r="D75" s="17" t="s">
        <v>47</v>
      </c>
      <c r="E75" s="17">
        <v>1</v>
      </c>
      <c r="F75" s="17" t="s">
        <v>9</v>
      </c>
      <c r="G75" s="17" t="s">
        <v>15</v>
      </c>
      <c r="H75" s="17" t="str">
        <f t="shared" si="9"/>
        <v>Radial Atomizer</v>
      </c>
      <c r="I75" s="55">
        <f t="shared" si="10"/>
        <v>11500</v>
      </c>
      <c r="J75" s="17">
        <v>2</v>
      </c>
      <c r="K75" s="17">
        <f t="shared" si="11"/>
        <v>0.25</v>
      </c>
      <c r="L75" s="18">
        <f t="shared" si="12"/>
        <v>5750</v>
      </c>
      <c r="M75" s="55">
        <f t="shared" si="13"/>
        <v>287.5</v>
      </c>
      <c r="N75" s="55">
        <f t="shared" si="14"/>
        <v>300</v>
      </c>
      <c r="O75" s="55">
        <f t="shared" si="15"/>
        <v>5162.5</v>
      </c>
      <c r="P75" s="55">
        <f t="shared" si="16"/>
        <v>4166.666666666667</v>
      </c>
      <c r="Q75" s="94">
        <f t="shared" si="17"/>
        <v>995.83333333333303</v>
      </c>
    </row>
    <row r="76" spans="1:17">
      <c r="A76" s="17">
        <v>1317</v>
      </c>
      <c r="B76" s="17">
        <v>1</v>
      </c>
      <c r="C76" s="17" t="s">
        <v>25</v>
      </c>
      <c r="D76" s="17" t="s">
        <v>58</v>
      </c>
      <c r="E76" s="17">
        <v>1</v>
      </c>
      <c r="F76" s="17" t="s">
        <v>11</v>
      </c>
      <c r="G76" s="17" t="s">
        <v>18</v>
      </c>
      <c r="H76" s="17" t="str">
        <f t="shared" si="9"/>
        <v>Meezor Turbine Counter-Thruster</v>
      </c>
      <c r="I76" s="55">
        <f t="shared" si="10"/>
        <v>21296</v>
      </c>
      <c r="J76" s="17">
        <v>6</v>
      </c>
      <c r="K76" s="17">
        <f t="shared" si="11"/>
        <v>0</v>
      </c>
      <c r="L76" s="18">
        <f t="shared" si="12"/>
        <v>0</v>
      </c>
      <c r="M76" s="55">
        <f t="shared" si="13"/>
        <v>0</v>
      </c>
      <c r="N76" s="55">
        <f t="shared" si="14"/>
        <v>0</v>
      </c>
      <c r="O76" s="55">
        <f t="shared" si="15"/>
        <v>0</v>
      </c>
      <c r="P76" s="55">
        <f t="shared" si="16"/>
        <v>12000</v>
      </c>
      <c r="Q76" s="94">
        <f t="shared" si="17"/>
        <v>-12000</v>
      </c>
    </row>
    <row r="77" spans="1:17">
      <c r="A77" s="17">
        <v>1317</v>
      </c>
      <c r="B77" s="17">
        <v>3</v>
      </c>
      <c r="C77" s="17" t="s">
        <v>31</v>
      </c>
      <c r="D77" s="17" t="s">
        <v>50</v>
      </c>
      <c r="E77" s="17">
        <v>1</v>
      </c>
      <c r="F77" s="17" t="s">
        <v>10</v>
      </c>
      <c r="G77" s="17" t="s">
        <v>17</v>
      </c>
      <c r="H77" s="17" t="str">
        <f t="shared" si="9"/>
        <v>Half-Spar Radium Flange</v>
      </c>
      <c r="I77" s="55">
        <f t="shared" si="10"/>
        <v>1000</v>
      </c>
      <c r="J77" s="17">
        <v>3</v>
      </c>
      <c r="K77" s="17">
        <f t="shared" si="11"/>
        <v>1</v>
      </c>
      <c r="L77" s="18">
        <f t="shared" si="12"/>
        <v>3000</v>
      </c>
      <c r="M77" s="55">
        <f t="shared" si="13"/>
        <v>150</v>
      </c>
      <c r="N77" s="55">
        <f t="shared" si="14"/>
        <v>600</v>
      </c>
      <c r="O77" s="55">
        <f t="shared" si="15"/>
        <v>2250</v>
      </c>
      <c r="P77" s="55">
        <f t="shared" si="16"/>
        <v>2000</v>
      </c>
      <c r="Q77" s="94">
        <f t="shared" si="17"/>
        <v>250</v>
      </c>
    </row>
    <row r="78" spans="1:17">
      <c r="A78" s="17">
        <v>1325</v>
      </c>
      <c r="B78" s="17">
        <v>2</v>
      </c>
      <c r="C78" s="17" t="s">
        <v>25</v>
      </c>
      <c r="D78" s="17" t="s">
        <v>58</v>
      </c>
      <c r="E78" s="17">
        <v>1</v>
      </c>
      <c r="F78" s="17" t="s">
        <v>11</v>
      </c>
      <c r="G78" s="17" t="s">
        <v>17</v>
      </c>
      <c r="H78" s="17" t="str">
        <f t="shared" si="9"/>
        <v>Half-Spar Radium Flange</v>
      </c>
      <c r="I78" s="55">
        <f t="shared" si="10"/>
        <v>1000</v>
      </c>
      <c r="J78" s="17">
        <v>7</v>
      </c>
      <c r="K78" s="17">
        <f t="shared" si="11"/>
        <v>0</v>
      </c>
      <c r="L78" s="18">
        <f t="shared" si="12"/>
        <v>0</v>
      </c>
      <c r="M78" s="55">
        <f t="shared" si="13"/>
        <v>0</v>
      </c>
      <c r="N78" s="55">
        <f t="shared" si="14"/>
        <v>0</v>
      </c>
      <c r="O78" s="55">
        <f t="shared" si="15"/>
        <v>0</v>
      </c>
      <c r="P78" s="55">
        <f t="shared" si="16"/>
        <v>8000</v>
      </c>
      <c r="Q78" s="94">
        <f t="shared" si="17"/>
        <v>-8000</v>
      </c>
    </row>
    <row r="79" spans="1:17">
      <c r="A79" s="17">
        <v>1325</v>
      </c>
      <c r="B79" s="17">
        <v>1</v>
      </c>
      <c r="C79" s="17" t="s">
        <v>26</v>
      </c>
      <c r="D79" s="17" t="s">
        <v>49</v>
      </c>
      <c r="E79" s="17">
        <v>7</v>
      </c>
      <c r="F79" s="17" t="s">
        <v>11</v>
      </c>
      <c r="G79" s="17" t="s">
        <v>16</v>
      </c>
      <c r="H79" s="17" t="str">
        <f t="shared" si="9"/>
        <v>Centurion Mezzle Spark Igniter</v>
      </c>
      <c r="I79" s="55">
        <f t="shared" si="10"/>
        <v>1500</v>
      </c>
      <c r="J79" s="17">
        <v>6</v>
      </c>
      <c r="K79" s="17">
        <f t="shared" si="11"/>
        <v>0</v>
      </c>
      <c r="L79" s="18">
        <f t="shared" si="12"/>
        <v>0</v>
      </c>
      <c r="M79" s="55">
        <f t="shared" si="13"/>
        <v>0</v>
      </c>
      <c r="N79" s="55">
        <f t="shared" si="14"/>
        <v>0</v>
      </c>
      <c r="O79" s="55">
        <f t="shared" si="15"/>
        <v>0</v>
      </c>
      <c r="P79" s="55">
        <f t="shared" si="16"/>
        <v>3750</v>
      </c>
      <c r="Q79" s="94">
        <f t="shared" si="17"/>
        <v>-3750</v>
      </c>
    </row>
    <row r="80" spans="1:17">
      <c r="A80" s="17">
        <v>1331</v>
      </c>
      <c r="B80" s="17">
        <v>1</v>
      </c>
      <c r="C80" s="17" t="s">
        <v>31</v>
      </c>
      <c r="D80" s="17" t="s">
        <v>46</v>
      </c>
      <c r="E80" s="17">
        <v>1</v>
      </c>
      <c r="F80" s="17" t="s">
        <v>11</v>
      </c>
      <c r="G80" s="17" t="s">
        <v>16</v>
      </c>
      <c r="H80" s="17" t="str">
        <f t="shared" si="9"/>
        <v>Centurion Mezzle Spark Igniter</v>
      </c>
      <c r="I80" s="55">
        <f t="shared" si="10"/>
        <v>1500</v>
      </c>
      <c r="J80" s="17">
        <v>7</v>
      </c>
      <c r="K80" s="17">
        <f t="shared" si="11"/>
        <v>0</v>
      </c>
      <c r="L80" s="18">
        <f t="shared" si="12"/>
        <v>0</v>
      </c>
      <c r="M80" s="55">
        <f t="shared" si="13"/>
        <v>0</v>
      </c>
      <c r="N80" s="55">
        <f t="shared" si="14"/>
        <v>0</v>
      </c>
      <c r="O80" s="55">
        <f t="shared" si="15"/>
        <v>0</v>
      </c>
      <c r="P80" s="55">
        <f t="shared" si="16"/>
        <v>6250</v>
      </c>
      <c r="Q80" s="94">
        <f t="shared" si="17"/>
        <v>-6250</v>
      </c>
    </row>
    <row r="81" spans="1:17">
      <c r="A81" s="17">
        <v>1341</v>
      </c>
      <c r="B81" s="17">
        <v>1</v>
      </c>
      <c r="C81" s="17" t="s">
        <v>24</v>
      </c>
      <c r="D81" s="17" t="s">
        <v>50</v>
      </c>
      <c r="E81" s="17">
        <v>5</v>
      </c>
      <c r="F81" s="17" t="s">
        <v>10</v>
      </c>
      <c r="G81" s="17" t="s">
        <v>18</v>
      </c>
      <c r="H81" s="17" t="str">
        <f t="shared" si="9"/>
        <v>Meezor Turbine Counter-Thruster</v>
      </c>
      <c r="I81" s="55">
        <f t="shared" si="10"/>
        <v>21296</v>
      </c>
      <c r="J81" s="17">
        <v>3</v>
      </c>
      <c r="K81" s="17">
        <f t="shared" si="11"/>
        <v>1</v>
      </c>
      <c r="L81" s="18">
        <f t="shared" si="12"/>
        <v>63888</v>
      </c>
      <c r="M81" s="55">
        <f t="shared" si="13"/>
        <v>6388.8</v>
      </c>
      <c r="N81" s="55">
        <f t="shared" si="14"/>
        <v>36000</v>
      </c>
      <c r="O81" s="55">
        <f t="shared" si="15"/>
        <v>21499.199999999997</v>
      </c>
      <c r="P81" s="55">
        <f t="shared" si="16"/>
        <v>6250</v>
      </c>
      <c r="Q81" s="94">
        <f t="shared" si="17"/>
        <v>15249.199999999997</v>
      </c>
    </row>
    <row r="82" spans="1:17">
      <c r="A82" s="17">
        <v>1341</v>
      </c>
      <c r="B82" s="17">
        <v>2</v>
      </c>
      <c r="C82" s="17" t="s">
        <v>24</v>
      </c>
      <c r="D82" s="17" t="s">
        <v>50</v>
      </c>
      <c r="E82" s="17">
        <v>8</v>
      </c>
      <c r="F82" s="17" t="s">
        <v>10</v>
      </c>
      <c r="G82" s="17" t="s">
        <v>18</v>
      </c>
      <c r="H82" s="17" t="str">
        <f t="shared" si="9"/>
        <v>Meezor Turbine Counter-Thruster</v>
      </c>
      <c r="I82" s="55">
        <f t="shared" si="10"/>
        <v>21296</v>
      </c>
      <c r="J82" s="17">
        <v>2</v>
      </c>
      <c r="K82" s="17">
        <f t="shared" si="11"/>
        <v>1</v>
      </c>
      <c r="L82" s="18">
        <f t="shared" si="12"/>
        <v>42592</v>
      </c>
      <c r="M82" s="55">
        <f t="shared" si="13"/>
        <v>4259.2</v>
      </c>
      <c r="N82" s="55">
        <f t="shared" si="14"/>
        <v>24000</v>
      </c>
      <c r="O82" s="55">
        <f t="shared" si="15"/>
        <v>14332.800000000003</v>
      </c>
      <c r="P82" s="55">
        <f t="shared" si="16"/>
        <v>8333.3333333333339</v>
      </c>
      <c r="Q82" s="94">
        <f t="shared" si="17"/>
        <v>5999.466666666669</v>
      </c>
    </row>
    <row r="83" spans="1:17">
      <c r="A83" s="17">
        <v>1341</v>
      </c>
      <c r="B83" s="17">
        <v>3</v>
      </c>
      <c r="C83" s="17" t="s">
        <v>31</v>
      </c>
      <c r="D83" s="17" t="s">
        <v>50</v>
      </c>
      <c r="E83" s="17">
        <v>1</v>
      </c>
      <c r="F83" s="17" t="s">
        <v>10</v>
      </c>
      <c r="G83" s="17" t="s">
        <v>17</v>
      </c>
      <c r="H83" s="17" t="str">
        <f t="shared" si="9"/>
        <v>Half-Spar Radium Flange</v>
      </c>
      <c r="I83" s="55">
        <f t="shared" si="10"/>
        <v>1000</v>
      </c>
      <c r="J83" s="17">
        <v>14</v>
      </c>
      <c r="K83" s="17">
        <f t="shared" si="11"/>
        <v>1</v>
      </c>
      <c r="L83" s="18">
        <f t="shared" si="12"/>
        <v>14000</v>
      </c>
      <c r="M83" s="55">
        <f t="shared" si="13"/>
        <v>700</v>
      </c>
      <c r="N83" s="55">
        <f t="shared" si="14"/>
        <v>2800</v>
      </c>
      <c r="O83" s="55">
        <f t="shared" si="15"/>
        <v>10500</v>
      </c>
      <c r="P83" s="55">
        <f t="shared" si="16"/>
        <v>2000</v>
      </c>
      <c r="Q83" s="94">
        <f t="shared" si="17"/>
        <v>8500</v>
      </c>
    </row>
    <row r="84" spans="1:17">
      <c r="A84" s="17">
        <v>1348</v>
      </c>
      <c r="B84" s="17">
        <v>4</v>
      </c>
      <c r="C84" s="17" t="s">
        <v>31</v>
      </c>
      <c r="D84" s="17" t="s">
        <v>47</v>
      </c>
      <c r="E84" s="17">
        <v>1</v>
      </c>
      <c r="F84" s="17" t="s">
        <v>9</v>
      </c>
      <c r="G84" s="17" t="s">
        <v>17</v>
      </c>
      <c r="H84" s="17" t="str">
        <f t="shared" si="9"/>
        <v>Half-Spar Radium Flange</v>
      </c>
      <c r="I84" s="55">
        <f t="shared" si="10"/>
        <v>1000</v>
      </c>
      <c r="J84" s="17">
        <v>14</v>
      </c>
      <c r="K84" s="17">
        <f t="shared" si="11"/>
        <v>0.25</v>
      </c>
      <c r="L84" s="18">
        <f t="shared" si="12"/>
        <v>3500</v>
      </c>
      <c r="M84" s="55">
        <f t="shared" si="13"/>
        <v>175</v>
      </c>
      <c r="N84" s="55">
        <f t="shared" si="14"/>
        <v>700</v>
      </c>
      <c r="O84" s="55">
        <f t="shared" si="15"/>
        <v>2625</v>
      </c>
      <c r="P84" s="55">
        <f t="shared" si="16"/>
        <v>2000</v>
      </c>
      <c r="Q84" s="94">
        <f t="shared" si="17"/>
        <v>625</v>
      </c>
    </row>
    <row r="85" spans="1:17">
      <c r="A85" s="17">
        <v>1348</v>
      </c>
      <c r="B85" s="17">
        <v>3</v>
      </c>
      <c r="C85" s="17" t="s">
        <v>25</v>
      </c>
      <c r="D85" s="17" t="s">
        <v>58</v>
      </c>
      <c r="E85" s="17">
        <v>1</v>
      </c>
      <c r="F85" s="17" t="s">
        <v>11</v>
      </c>
      <c r="G85" s="17" t="s">
        <v>17</v>
      </c>
      <c r="H85" s="17" t="str">
        <f t="shared" si="9"/>
        <v>Half-Spar Radium Flange</v>
      </c>
      <c r="I85" s="55">
        <f t="shared" si="10"/>
        <v>1000</v>
      </c>
      <c r="J85" s="17">
        <v>15</v>
      </c>
      <c r="K85" s="17">
        <f t="shared" si="11"/>
        <v>0</v>
      </c>
      <c r="L85" s="18">
        <f t="shared" si="12"/>
        <v>0</v>
      </c>
      <c r="M85" s="55">
        <f t="shared" si="13"/>
        <v>0</v>
      </c>
      <c r="N85" s="55">
        <f t="shared" si="14"/>
        <v>0</v>
      </c>
      <c r="O85" s="55">
        <f t="shared" si="15"/>
        <v>0</v>
      </c>
      <c r="P85" s="55">
        <f t="shared" si="16"/>
        <v>9230.7692307692305</v>
      </c>
      <c r="Q85" s="94">
        <f t="shared" si="17"/>
        <v>-9230.7692307692305</v>
      </c>
    </row>
    <row r="86" spans="1:17">
      <c r="A86" s="17">
        <v>1349</v>
      </c>
      <c r="B86" s="17">
        <v>4</v>
      </c>
      <c r="C86" s="17" t="s">
        <v>24</v>
      </c>
      <c r="D86" s="17" t="s">
        <v>46</v>
      </c>
      <c r="E86" s="17">
        <v>2</v>
      </c>
      <c r="F86" s="17" t="s">
        <v>9</v>
      </c>
      <c r="G86" s="17" t="s">
        <v>15</v>
      </c>
      <c r="H86" s="17" t="str">
        <f t="shared" si="9"/>
        <v>Radial Atomizer</v>
      </c>
      <c r="I86" s="55">
        <f t="shared" si="10"/>
        <v>11500</v>
      </c>
      <c r="J86" s="17">
        <v>3</v>
      </c>
      <c r="K86" s="17">
        <f t="shared" si="11"/>
        <v>0.05</v>
      </c>
      <c r="L86" s="18">
        <f t="shared" si="12"/>
        <v>1725</v>
      </c>
      <c r="M86" s="55">
        <f t="shared" si="13"/>
        <v>86.25</v>
      </c>
      <c r="N86" s="55">
        <f t="shared" si="14"/>
        <v>90</v>
      </c>
      <c r="O86" s="55">
        <f t="shared" si="15"/>
        <v>1548.75</v>
      </c>
      <c r="P86" s="55">
        <f t="shared" si="16"/>
        <v>4166.666666666667</v>
      </c>
      <c r="Q86" s="94">
        <f t="shared" si="17"/>
        <v>-2617.916666666667</v>
      </c>
    </row>
    <row r="87" spans="1:17">
      <c r="A87" s="17">
        <v>1363</v>
      </c>
      <c r="B87" s="17">
        <v>4</v>
      </c>
      <c r="C87" s="17" t="s">
        <v>31</v>
      </c>
      <c r="D87" s="17" t="s">
        <v>46</v>
      </c>
      <c r="E87" s="17">
        <v>1</v>
      </c>
      <c r="F87" s="17" t="s">
        <v>9</v>
      </c>
      <c r="G87" s="17" t="s">
        <v>16</v>
      </c>
      <c r="H87" s="17" t="str">
        <f t="shared" si="9"/>
        <v>Centurion Mezzle Spark Igniter</v>
      </c>
      <c r="I87" s="55">
        <f t="shared" si="10"/>
        <v>1500</v>
      </c>
      <c r="J87" s="17">
        <v>5</v>
      </c>
      <c r="K87" s="17">
        <f t="shared" si="11"/>
        <v>0.05</v>
      </c>
      <c r="L87" s="18">
        <f t="shared" si="12"/>
        <v>375</v>
      </c>
      <c r="M87" s="55">
        <f t="shared" si="13"/>
        <v>56.25</v>
      </c>
      <c r="N87" s="55">
        <f t="shared" si="14"/>
        <v>100</v>
      </c>
      <c r="O87" s="55">
        <f t="shared" si="15"/>
        <v>218.75</v>
      </c>
      <c r="P87" s="55">
        <f t="shared" si="16"/>
        <v>2000</v>
      </c>
      <c r="Q87" s="94">
        <f t="shared" si="17"/>
        <v>-1781.25</v>
      </c>
    </row>
    <row r="88" spans="1:17">
      <c r="A88" s="17">
        <v>1421</v>
      </c>
      <c r="B88" s="17">
        <v>4</v>
      </c>
      <c r="C88" s="17" t="s">
        <v>25</v>
      </c>
      <c r="D88" s="17" t="s">
        <v>58</v>
      </c>
      <c r="E88" s="17">
        <v>2</v>
      </c>
      <c r="F88" s="17" t="s">
        <v>11</v>
      </c>
      <c r="G88" s="17" t="s">
        <v>16</v>
      </c>
      <c r="H88" s="17" t="str">
        <f t="shared" si="9"/>
        <v>Centurion Mezzle Spark Igniter</v>
      </c>
      <c r="I88" s="55">
        <f t="shared" si="10"/>
        <v>1500</v>
      </c>
      <c r="J88" s="17">
        <v>7</v>
      </c>
      <c r="K88" s="17">
        <f t="shared" si="11"/>
        <v>0</v>
      </c>
      <c r="L88" s="18">
        <f t="shared" si="12"/>
        <v>0</v>
      </c>
      <c r="M88" s="55">
        <f t="shared" si="13"/>
        <v>0</v>
      </c>
      <c r="N88" s="55">
        <f t="shared" si="14"/>
        <v>0</v>
      </c>
      <c r="O88" s="55">
        <f t="shared" si="15"/>
        <v>0</v>
      </c>
      <c r="P88" s="55">
        <f t="shared" si="16"/>
        <v>20000</v>
      </c>
      <c r="Q88" s="94">
        <f t="shared" si="17"/>
        <v>-20000</v>
      </c>
    </row>
    <row r="89" spans="1:17">
      <c r="A89" s="17">
        <v>1456</v>
      </c>
      <c r="B89" s="17">
        <v>1</v>
      </c>
      <c r="C89" s="17" t="s">
        <v>31</v>
      </c>
      <c r="D89" s="17" t="s">
        <v>50</v>
      </c>
      <c r="E89" s="17">
        <v>1</v>
      </c>
      <c r="F89" s="17" t="s">
        <v>10</v>
      </c>
      <c r="G89" s="17" t="s">
        <v>17</v>
      </c>
      <c r="H89" s="17" t="str">
        <f t="shared" si="9"/>
        <v>Half-Spar Radium Flange</v>
      </c>
      <c r="I89" s="55">
        <f t="shared" si="10"/>
        <v>1000</v>
      </c>
      <c r="J89" s="17">
        <v>13</v>
      </c>
      <c r="K89" s="17">
        <f t="shared" si="11"/>
        <v>1</v>
      </c>
      <c r="L89" s="18">
        <f t="shared" si="12"/>
        <v>13000</v>
      </c>
      <c r="M89" s="55">
        <f t="shared" si="13"/>
        <v>650</v>
      </c>
      <c r="N89" s="55">
        <f t="shared" si="14"/>
        <v>2600</v>
      </c>
      <c r="O89" s="55">
        <f t="shared" si="15"/>
        <v>9750</v>
      </c>
      <c r="P89" s="55">
        <f t="shared" si="16"/>
        <v>6250</v>
      </c>
      <c r="Q89" s="94">
        <f t="shared" si="17"/>
        <v>3500</v>
      </c>
    </row>
    <row r="90" spans="1:17">
      <c r="A90" s="17">
        <v>1469</v>
      </c>
      <c r="B90" s="17">
        <v>4</v>
      </c>
      <c r="C90" s="17" t="s">
        <v>26</v>
      </c>
      <c r="D90" s="17" t="s">
        <v>48</v>
      </c>
      <c r="E90" s="17">
        <v>4</v>
      </c>
      <c r="F90" s="17" t="s">
        <v>9</v>
      </c>
      <c r="G90" s="17" t="s">
        <v>16</v>
      </c>
      <c r="H90" s="17" t="str">
        <f t="shared" si="9"/>
        <v>Centurion Mezzle Spark Igniter</v>
      </c>
      <c r="I90" s="55">
        <f t="shared" si="10"/>
        <v>1500</v>
      </c>
      <c r="J90" s="17">
        <v>7</v>
      </c>
      <c r="K90" s="17">
        <f t="shared" si="11"/>
        <v>0.85</v>
      </c>
      <c r="L90" s="18">
        <f t="shared" si="12"/>
        <v>8925</v>
      </c>
      <c r="M90" s="55">
        <f t="shared" si="13"/>
        <v>1338.75</v>
      </c>
      <c r="N90" s="55">
        <f t="shared" si="14"/>
        <v>2380</v>
      </c>
      <c r="O90" s="55">
        <f t="shared" si="15"/>
        <v>5206.25</v>
      </c>
      <c r="P90" s="55">
        <f t="shared" si="16"/>
        <v>4285.7142857142853</v>
      </c>
      <c r="Q90" s="94">
        <f t="shared" si="17"/>
        <v>920.53571428571468</v>
      </c>
    </row>
    <row r="91" spans="1:17">
      <c r="A91" s="17">
        <v>1479</v>
      </c>
      <c r="B91" s="17">
        <v>1</v>
      </c>
      <c r="C91" s="17" t="s">
        <v>24</v>
      </c>
      <c r="D91" s="17" t="s">
        <v>50</v>
      </c>
      <c r="E91" s="17">
        <v>8</v>
      </c>
      <c r="F91" s="17" t="s">
        <v>10</v>
      </c>
      <c r="G91" s="17" t="s">
        <v>18</v>
      </c>
      <c r="H91" s="17" t="str">
        <f t="shared" si="9"/>
        <v>Meezor Turbine Counter-Thruster</v>
      </c>
      <c r="I91" s="55">
        <f t="shared" si="10"/>
        <v>21296</v>
      </c>
      <c r="J91" s="17">
        <v>2</v>
      </c>
      <c r="K91" s="17">
        <f t="shared" si="11"/>
        <v>1</v>
      </c>
      <c r="L91" s="18">
        <f t="shared" si="12"/>
        <v>42592</v>
      </c>
      <c r="M91" s="55">
        <f t="shared" si="13"/>
        <v>4259.2</v>
      </c>
      <c r="N91" s="55">
        <f t="shared" si="14"/>
        <v>24000</v>
      </c>
      <c r="O91" s="55">
        <f t="shared" si="15"/>
        <v>14332.800000000003</v>
      </c>
      <c r="P91" s="55">
        <f t="shared" si="16"/>
        <v>6250</v>
      </c>
      <c r="Q91" s="94">
        <f t="shared" si="17"/>
        <v>8082.8000000000029</v>
      </c>
    </row>
    <row r="92" spans="1:17">
      <c r="A92" s="17">
        <v>1485</v>
      </c>
      <c r="B92" s="17">
        <v>2</v>
      </c>
      <c r="C92" s="17" t="s">
        <v>26</v>
      </c>
      <c r="D92" s="17" t="s">
        <v>49</v>
      </c>
      <c r="E92" s="17">
        <v>4</v>
      </c>
      <c r="F92" s="17" t="s">
        <v>11</v>
      </c>
      <c r="G92" s="17" t="s">
        <v>18</v>
      </c>
      <c r="H92" s="17" t="str">
        <f t="shared" si="9"/>
        <v>Meezor Turbine Counter-Thruster</v>
      </c>
      <c r="I92" s="55">
        <f t="shared" si="10"/>
        <v>21296</v>
      </c>
      <c r="J92" s="17">
        <v>3</v>
      </c>
      <c r="K92" s="17">
        <f t="shared" si="11"/>
        <v>0</v>
      </c>
      <c r="L92" s="18">
        <f t="shared" si="12"/>
        <v>0</v>
      </c>
      <c r="M92" s="55">
        <f t="shared" si="13"/>
        <v>0</v>
      </c>
      <c r="N92" s="55">
        <f t="shared" si="14"/>
        <v>0</v>
      </c>
      <c r="O92" s="55">
        <f t="shared" si="15"/>
        <v>0</v>
      </c>
      <c r="P92" s="55">
        <f t="shared" si="16"/>
        <v>2727.2727272727275</v>
      </c>
      <c r="Q92" s="94">
        <f t="shared" si="17"/>
        <v>-2727.2727272727275</v>
      </c>
    </row>
    <row r="93" spans="1:17">
      <c r="A93" s="17">
        <v>1495</v>
      </c>
      <c r="B93" s="17">
        <v>2</v>
      </c>
      <c r="C93" s="17" t="s">
        <v>25</v>
      </c>
      <c r="D93" s="17" t="s">
        <v>58</v>
      </c>
      <c r="E93" s="17">
        <v>5</v>
      </c>
      <c r="F93" s="17" t="s">
        <v>11</v>
      </c>
      <c r="G93" s="17" t="s">
        <v>16</v>
      </c>
      <c r="H93" s="17" t="str">
        <f t="shared" si="9"/>
        <v>Centurion Mezzle Spark Igniter</v>
      </c>
      <c r="I93" s="55">
        <f t="shared" si="10"/>
        <v>1500</v>
      </c>
      <c r="J93" s="17">
        <v>4</v>
      </c>
      <c r="K93" s="17">
        <f t="shared" si="11"/>
        <v>0</v>
      </c>
      <c r="L93" s="18">
        <f t="shared" si="12"/>
        <v>0</v>
      </c>
      <c r="M93" s="55">
        <f t="shared" si="13"/>
        <v>0</v>
      </c>
      <c r="N93" s="55">
        <f t="shared" si="14"/>
        <v>0</v>
      </c>
      <c r="O93" s="55">
        <f t="shared" si="15"/>
        <v>0</v>
      </c>
      <c r="P93" s="55">
        <f t="shared" si="16"/>
        <v>8000</v>
      </c>
      <c r="Q93" s="94">
        <f t="shared" si="17"/>
        <v>-8000</v>
      </c>
    </row>
    <row r="94" spans="1:17">
      <c r="A94" s="17">
        <v>1495</v>
      </c>
      <c r="B94" s="17">
        <v>3</v>
      </c>
      <c r="C94" s="17" t="s">
        <v>31</v>
      </c>
      <c r="D94" s="17" t="s">
        <v>48</v>
      </c>
      <c r="E94" s="17">
        <v>4</v>
      </c>
      <c r="F94" s="17" t="s">
        <v>11</v>
      </c>
      <c r="G94" s="17" t="s">
        <v>17</v>
      </c>
      <c r="H94" s="17" t="str">
        <f t="shared" si="9"/>
        <v>Half-Spar Radium Flange</v>
      </c>
      <c r="I94" s="55">
        <f t="shared" si="10"/>
        <v>1000</v>
      </c>
      <c r="J94" s="17">
        <v>14</v>
      </c>
      <c r="K94" s="17">
        <f t="shared" si="11"/>
        <v>0</v>
      </c>
      <c r="L94" s="18">
        <f t="shared" si="12"/>
        <v>0</v>
      </c>
      <c r="M94" s="55">
        <f t="shared" si="13"/>
        <v>0</v>
      </c>
      <c r="N94" s="55">
        <f t="shared" si="14"/>
        <v>0</v>
      </c>
      <c r="O94" s="55">
        <f t="shared" si="15"/>
        <v>0</v>
      </c>
      <c r="P94" s="55">
        <f t="shared" si="16"/>
        <v>2000</v>
      </c>
      <c r="Q94" s="94">
        <f t="shared" si="17"/>
        <v>-2000</v>
      </c>
    </row>
    <row r="95" spans="1:17">
      <c r="A95" s="17">
        <v>1500</v>
      </c>
      <c r="B95" s="17">
        <v>2</v>
      </c>
      <c r="C95" s="17" t="s">
        <v>25</v>
      </c>
      <c r="D95" s="17" t="s">
        <v>58</v>
      </c>
      <c r="E95" s="17">
        <v>3</v>
      </c>
      <c r="F95" s="17" t="s">
        <v>11</v>
      </c>
      <c r="G95" s="17" t="s">
        <v>16</v>
      </c>
      <c r="H95" s="17" t="str">
        <f t="shared" si="9"/>
        <v>Centurion Mezzle Spark Igniter</v>
      </c>
      <c r="I95" s="55">
        <f t="shared" si="10"/>
        <v>1500</v>
      </c>
      <c r="J95" s="17">
        <v>4</v>
      </c>
      <c r="K95" s="17">
        <f t="shared" si="11"/>
        <v>0</v>
      </c>
      <c r="L95" s="18">
        <f t="shared" si="12"/>
        <v>0</v>
      </c>
      <c r="M95" s="55">
        <f t="shared" si="13"/>
        <v>0</v>
      </c>
      <c r="N95" s="55">
        <f t="shared" si="14"/>
        <v>0</v>
      </c>
      <c r="O95" s="55">
        <f t="shared" si="15"/>
        <v>0</v>
      </c>
      <c r="P95" s="55">
        <f t="shared" si="16"/>
        <v>8000</v>
      </c>
      <c r="Q95" s="94">
        <f t="shared" si="17"/>
        <v>-8000</v>
      </c>
    </row>
    <row r="96" spans="1:17">
      <c r="A96" s="17">
        <v>1500</v>
      </c>
      <c r="B96" s="17">
        <v>4</v>
      </c>
      <c r="C96" s="17" t="s">
        <v>26</v>
      </c>
      <c r="D96" s="17" t="s">
        <v>48</v>
      </c>
      <c r="E96" s="17">
        <v>4</v>
      </c>
      <c r="F96" s="17" t="s">
        <v>9</v>
      </c>
      <c r="G96" s="17" t="s">
        <v>16</v>
      </c>
      <c r="H96" s="17" t="str">
        <f t="shared" si="9"/>
        <v>Centurion Mezzle Spark Igniter</v>
      </c>
      <c r="I96" s="55">
        <f t="shared" si="10"/>
        <v>1500</v>
      </c>
      <c r="J96" s="17">
        <v>4</v>
      </c>
      <c r="K96" s="17">
        <f t="shared" si="11"/>
        <v>0.85</v>
      </c>
      <c r="L96" s="18">
        <f t="shared" si="12"/>
        <v>5100</v>
      </c>
      <c r="M96" s="55">
        <f t="shared" si="13"/>
        <v>765</v>
      </c>
      <c r="N96" s="55">
        <f t="shared" si="14"/>
        <v>1360</v>
      </c>
      <c r="O96" s="55">
        <f t="shared" si="15"/>
        <v>2975</v>
      </c>
      <c r="P96" s="55">
        <f t="shared" si="16"/>
        <v>4285.7142857142853</v>
      </c>
      <c r="Q96" s="94">
        <f t="shared" si="17"/>
        <v>-1310.7142857142853</v>
      </c>
    </row>
    <row r="97" spans="1:17">
      <c r="A97" s="17">
        <v>1500</v>
      </c>
      <c r="B97" s="17">
        <v>3</v>
      </c>
      <c r="C97" s="17" t="s">
        <v>31</v>
      </c>
      <c r="D97" s="17" t="s">
        <v>50</v>
      </c>
      <c r="E97" s="17">
        <v>3</v>
      </c>
      <c r="F97" s="17" t="s">
        <v>10</v>
      </c>
      <c r="G97" s="17" t="s">
        <v>17</v>
      </c>
      <c r="H97" s="17" t="str">
        <f t="shared" si="9"/>
        <v>Half-Spar Radium Flange</v>
      </c>
      <c r="I97" s="55">
        <f t="shared" si="10"/>
        <v>1000</v>
      </c>
      <c r="J97" s="17">
        <v>11</v>
      </c>
      <c r="K97" s="17">
        <f t="shared" si="11"/>
        <v>1</v>
      </c>
      <c r="L97" s="18">
        <f t="shared" si="12"/>
        <v>11000</v>
      </c>
      <c r="M97" s="55">
        <f t="shared" si="13"/>
        <v>550</v>
      </c>
      <c r="N97" s="55">
        <f t="shared" si="14"/>
        <v>2200</v>
      </c>
      <c r="O97" s="55">
        <f t="shared" si="15"/>
        <v>8250</v>
      </c>
      <c r="P97" s="55">
        <f t="shared" si="16"/>
        <v>2000</v>
      </c>
      <c r="Q97" s="94">
        <f t="shared" si="17"/>
        <v>6250</v>
      </c>
    </row>
    <row r="98" spans="1:17">
      <c r="A98" s="17">
        <v>1502</v>
      </c>
      <c r="B98" s="17">
        <v>1</v>
      </c>
      <c r="C98" s="17" t="s">
        <v>25</v>
      </c>
      <c r="D98" s="17" t="s">
        <v>58</v>
      </c>
      <c r="E98" s="17">
        <v>3</v>
      </c>
      <c r="F98" s="17" t="s">
        <v>11</v>
      </c>
      <c r="G98" s="17" t="s">
        <v>15</v>
      </c>
      <c r="H98" s="17" t="str">
        <f t="shared" si="9"/>
        <v>Radial Atomizer</v>
      </c>
      <c r="I98" s="55">
        <f t="shared" si="10"/>
        <v>11500</v>
      </c>
      <c r="J98" s="17">
        <v>6</v>
      </c>
      <c r="K98" s="17">
        <f t="shared" si="11"/>
        <v>0</v>
      </c>
      <c r="L98" s="18">
        <f t="shared" si="12"/>
        <v>0</v>
      </c>
      <c r="M98" s="55">
        <f t="shared" si="13"/>
        <v>0</v>
      </c>
      <c r="N98" s="55">
        <f t="shared" si="14"/>
        <v>0</v>
      </c>
      <c r="O98" s="55">
        <f t="shared" si="15"/>
        <v>0</v>
      </c>
      <c r="P98" s="55">
        <f t="shared" si="16"/>
        <v>12000</v>
      </c>
      <c r="Q98" s="94">
        <f t="shared" si="17"/>
        <v>-12000</v>
      </c>
    </row>
    <row r="99" spans="1:17">
      <c r="A99" s="17">
        <v>1518</v>
      </c>
      <c r="B99" s="17">
        <v>4</v>
      </c>
      <c r="C99" s="17" t="s">
        <v>31</v>
      </c>
      <c r="D99" s="17" t="s">
        <v>46</v>
      </c>
      <c r="E99" s="17">
        <v>1</v>
      </c>
      <c r="F99" s="17" t="s">
        <v>9</v>
      </c>
      <c r="G99" s="17" t="s">
        <v>16</v>
      </c>
      <c r="H99" s="17" t="str">
        <f t="shared" si="9"/>
        <v>Centurion Mezzle Spark Igniter</v>
      </c>
      <c r="I99" s="55">
        <f t="shared" si="10"/>
        <v>1500</v>
      </c>
      <c r="J99" s="17">
        <v>6</v>
      </c>
      <c r="K99" s="17">
        <f t="shared" si="11"/>
        <v>0.05</v>
      </c>
      <c r="L99" s="18">
        <f t="shared" si="12"/>
        <v>450</v>
      </c>
      <c r="M99" s="55">
        <f t="shared" si="13"/>
        <v>67.5</v>
      </c>
      <c r="N99" s="55">
        <f t="shared" si="14"/>
        <v>120</v>
      </c>
      <c r="O99" s="55">
        <f t="shared" si="15"/>
        <v>262.5</v>
      </c>
      <c r="P99" s="55">
        <f t="shared" si="16"/>
        <v>2000</v>
      </c>
      <c r="Q99" s="94">
        <f t="shared" si="17"/>
        <v>-1737.5</v>
      </c>
    </row>
    <row r="100" spans="1:17">
      <c r="A100" s="17">
        <v>1524</v>
      </c>
      <c r="B100" s="17">
        <v>4</v>
      </c>
      <c r="C100" s="17" t="s">
        <v>24</v>
      </c>
      <c r="D100" s="17" t="s">
        <v>46</v>
      </c>
      <c r="E100" s="17">
        <v>2</v>
      </c>
      <c r="F100" s="17" t="s">
        <v>9</v>
      </c>
      <c r="G100" s="17" t="s">
        <v>15</v>
      </c>
      <c r="H100" s="17" t="str">
        <f t="shared" si="9"/>
        <v>Radial Atomizer</v>
      </c>
      <c r="I100" s="55">
        <f t="shared" si="10"/>
        <v>11500</v>
      </c>
      <c r="J100" s="17">
        <v>3</v>
      </c>
      <c r="K100" s="17">
        <f t="shared" si="11"/>
        <v>0.05</v>
      </c>
      <c r="L100" s="18">
        <f t="shared" si="12"/>
        <v>1725</v>
      </c>
      <c r="M100" s="55">
        <f t="shared" si="13"/>
        <v>86.25</v>
      </c>
      <c r="N100" s="55">
        <f t="shared" si="14"/>
        <v>90</v>
      </c>
      <c r="O100" s="55">
        <f t="shared" si="15"/>
        <v>1548.75</v>
      </c>
      <c r="P100" s="55">
        <f t="shared" si="16"/>
        <v>4166.666666666667</v>
      </c>
      <c r="Q100" s="94">
        <f t="shared" si="17"/>
        <v>-2617.916666666667</v>
      </c>
    </row>
    <row r="101" spans="1:17">
      <c r="A101" s="17">
        <v>1524</v>
      </c>
      <c r="B101" s="17">
        <v>1</v>
      </c>
      <c r="C101" s="17" t="s">
        <v>26</v>
      </c>
      <c r="D101" s="17" t="s">
        <v>49</v>
      </c>
      <c r="E101" s="17">
        <v>7</v>
      </c>
      <c r="F101" s="17" t="s">
        <v>11</v>
      </c>
      <c r="G101" s="17" t="s">
        <v>16</v>
      </c>
      <c r="H101" s="17" t="str">
        <f t="shared" si="9"/>
        <v>Centurion Mezzle Spark Igniter</v>
      </c>
      <c r="I101" s="55">
        <f t="shared" si="10"/>
        <v>1500</v>
      </c>
      <c r="J101" s="17">
        <v>2</v>
      </c>
      <c r="K101" s="17">
        <f t="shared" si="11"/>
        <v>0</v>
      </c>
      <c r="L101" s="18">
        <f t="shared" si="12"/>
        <v>0</v>
      </c>
      <c r="M101" s="55">
        <f t="shared" si="13"/>
        <v>0</v>
      </c>
      <c r="N101" s="55">
        <f t="shared" si="14"/>
        <v>0</v>
      </c>
      <c r="O101" s="55">
        <f t="shared" si="15"/>
        <v>0</v>
      </c>
      <c r="P101" s="55">
        <f t="shared" si="16"/>
        <v>3750</v>
      </c>
      <c r="Q101" s="94">
        <f t="shared" si="17"/>
        <v>-3750</v>
      </c>
    </row>
    <row r="102" spans="1:17">
      <c r="A102" s="17">
        <v>1524</v>
      </c>
      <c r="B102" s="17">
        <v>2</v>
      </c>
      <c r="C102" s="17" t="s">
        <v>24</v>
      </c>
      <c r="D102" s="17" t="s">
        <v>50</v>
      </c>
      <c r="E102" s="17">
        <v>8</v>
      </c>
      <c r="F102" s="17" t="s">
        <v>10</v>
      </c>
      <c r="G102" s="17" t="s">
        <v>18</v>
      </c>
      <c r="H102" s="17" t="str">
        <f t="shared" si="9"/>
        <v>Meezor Turbine Counter-Thruster</v>
      </c>
      <c r="I102" s="55">
        <f t="shared" si="10"/>
        <v>21296</v>
      </c>
      <c r="J102" s="17">
        <v>3</v>
      </c>
      <c r="K102" s="17">
        <f t="shared" si="11"/>
        <v>1</v>
      </c>
      <c r="L102" s="18">
        <f t="shared" si="12"/>
        <v>63888</v>
      </c>
      <c r="M102" s="55">
        <f t="shared" si="13"/>
        <v>6388.8</v>
      </c>
      <c r="N102" s="55">
        <f t="shared" si="14"/>
        <v>36000</v>
      </c>
      <c r="O102" s="55">
        <f t="shared" si="15"/>
        <v>21499.199999999997</v>
      </c>
      <c r="P102" s="55">
        <f t="shared" si="16"/>
        <v>8333.3333333333339</v>
      </c>
      <c r="Q102" s="94">
        <f t="shared" si="17"/>
        <v>13165.866666666663</v>
      </c>
    </row>
    <row r="103" spans="1:17">
      <c r="A103" s="17">
        <v>1524</v>
      </c>
      <c r="B103" s="17">
        <v>3</v>
      </c>
      <c r="C103" s="17" t="s">
        <v>31</v>
      </c>
      <c r="D103" s="17" t="s">
        <v>50</v>
      </c>
      <c r="E103" s="17">
        <v>3</v>
      </c>
      <c r="F103" s="17" t="s">
        <v>10</v>
      </c>
      <c r="G103" s="17" t="s">
        <v>17</v>
      </c>
      <c r="H103" s="17" t="str">
        <f t="shared" si="9"/>
        <v>Half-Spar Radium Flange</v>
      </c>
      <c r="I103" s="55">
        <f t="shared" si="10"/>
        <v>1000</v>
      </c>
      <c r="J103" s="17">
        <v>9</v>
      </c>
      <c r="K103" s="17">
        <f t="shared" si="11"/>
        <v>1</v>
      </c>
      <c r="L103" s="18">
        <f t="shared" si="12"/>
        <v>9000</v>
      </c>
      <c r="M103" s="55">
        <f t="shared" si="13"/>
        <v>450</v>
      </c>
      <c r="N103" s="55">
        <f t="shared" si="14"/>
        <v>1800</v>
      </c>
      <c r="O103" s="55">
        <f t="shared" si="15"/>
        <v>6750</v>
      </c>
      <c r="P103" s="55">
        <f t="shared" si="16"/>
        <v>2000</v>
      </c>
      <c r="Q103" s="94">
        <f t="shared" si="17"/>
        <v>4750</v>
      </c>
    </row>
    <row r="104" spans="1:17">
      <c r="A104" s="17">
        <v>1527</v>
      </c>
      <c r="B104" s="17">
        <v>2</v>
      </c>
      <c r="C104" s="17" t="s">
        <v>31</v>
      </c>
      <c r="D104" s="17" t="s">
        <v>46</v>
      </c>
      <c r="E104" s="17">
        <v>1</v>
      </c>
      <c r="F104" s="17" t="s">
        <v>11</v>
      </c>
      <c r="G104" s="17" t="s">
        <v>18</v>
      </c>
      <c r="H104" s="17" t="str">
        <f t="shared" si="9"/>
        <v>Meezor Turbine Counter-Thruster</v>
      </c>
      <c r="I104" s="55">
        <f t="shared" si="10"/>
        <v>21296</v>
      </c>
      <c r="J104" s="17">
        <v>2</v>
      </c>
      <c r="K104" s="17">
        <f t="shared" si="11"/>
        <v>0</v>
      </c>
      <c r="L104" s="18">
        <f t="shared" si="12"/>
        <v>0</v>
      </c>
      <c r="M104" s="55">
        <f t="shared" si="13"/>
        <v>0</v>
      </c>
      <c r="N104" s="55">
        <f t="shared" si="14"/>
        <v>0</v>
      </c>
      <c r="O104" s="55">
        <f t="shared" si="15"/>
        <v>0</v>
      </c>
      <c r="P104" s="55">
        <f t="shared" si="16"/>
        <v>2500</v>
      </c>
      <c r="Q104" s="94">
        <f t="shared" si="17"/>
        <v>-2500</v>
      </c>
    </row>
    <row r="105" spans="1:17">
      <c r="A105" s="17">
        <v>1539</v>
      </c>
      <c r="B105" s="17">
        <v>2</v>
      </c>
      <c r="C105" s="17" t="s">
        <v>31</v>
      </c>
      <c r="D105" s="17" t="s">
        <v>58</v>
      </c>
      <c r="E105" s="17">
        <v>2</v>
      </c>
      <c r="F105" s="17" t="s">
        <v>11</v>
      </c>
      <c r="G105" s="17" t="s">
        <v>17</v>
      </c>
      <c r="H105" s="17" t="str">
        <f t="shared" si="9"/>
        <v>Half-Spar Radium Flange</v>
      </c>
      <c r="I105" s="55">
        <f t="shared" si="10"/>
        <v>1000</v>
      </c>
      <c r="J105" s="17">
        <v>2</v>
      </c>
      <c r="K105" s="17">
        <f t="shared" si="11"/>
        <v>0</v>
      </c>
      <c r="L105" s="18">
        <f t="shared" si="12"/>
        <v>0</v>
      </c>
      <c r="M105" s="55">
        <f t="shared" si="13"/>
        <v>0</v>
      </c>
      <c r="N105" s="55">
        <f t="shared" si="14"/>
        <v>0</v>
      </c>
      <c r="O105" s="55">
        <f t="shared" si="15"/>
        <v>0</v>
      </c>
      <c r="P105" s="55">
        <f t="shared" si="16"/>
        <v>2500</v>
      </c>
      <c r="Q105" s="94">
        <f t="shared" si="17"/>
        <v>-2500</v>
      </c>
    </row>
    <row r="106" spans="1:17">
      <c r="A106" s="17">
        <v>1540</v>
      </c>
      <c r="B106" s="17">
        <v>1</v>
      </c>
      <c r="C106" s="17" t="s">
        <v>25</v>
      </c>
      <c r="D106" s="17" t="s">
        <v>58</v>
      </c>
      <c r="E106" s="17">
        <v>1</v>
      </c>
      <c r="F106" s="17" t="s">
        <v>11</v>
      </c>
      <c r="G106" s="17" t="s">
        <v>16</v>
      </c>
      <c r="H106" s="17" t="str">
        <f t="shared" si="9"/>
        <v>Centurion Mezzle Spark Igniter</v>
      </c>
      <c r="I106" s="55">
        <f t="shared" si="10"/>
        <v>1500</v>
      </c>
      <c r="J106" s="17">
        <v>3</v>
      </c>
      <c r="K106" s="17">
        <f t="shared" si="11"/>
        <v>0</v>
      </c>
      <c r="L106" s="18">
        <f t="shared" si="12"/>
        <v>0</v>
      </c>
      <c r="M106" s="55">
        <f t="shared" si="13"/>
        <v>0</v>
      </c>
      <c r="N106" s="55">
        <f t="shared" si="14"/>
        <v>0</v>
      </c>
      <c r="O106" s="55">
        <f t="shared" si="15"/>
        <v>0</v>
      </c>
      <c r="P106" s="55">
        <f t="shared" si="16"/>
        <v>12000</v>
      </c>
      <c r="Q106" s="94">
        <f t="shared" si="17"/>
        <v>-12000</v>
      </c>
    </row>
    <row r="107" spans="1:17">
      <c r="A107" s="17">
        <v>1549</v>
      </c>
      <c r="B107" s="17">
        <v>1</v>
      </c>
      <c r="C107" s="17" t="s">
        <v>31</v>
      </c>
      <c r="D107" s="17" t="s">
        <v>46</v>
      </c>
      <c r="E107" s="17">
        <v>1</v>
      </c>
      <c r="F107" s="17" t="s">
        <v>11</v>
      </c>
      <c r="G107" s="17" t="s">
        <v>17</v>
      </c>
      <c r="H107" s="17" t="str">
        <f t="shared" si="9"/>
        <v>Half-Spar Radium Flange</v>
      </c>
      <c r="I107" s="55">
        <f t="shared" si="10"/>
        <v>1000</v>
      </c>
      <c r="J107" s="17">
        <v>3</v>
      </c>
      <c r="K107" s="17">
        <f t="shared" si="11"/>
        <v>0</v>
      </c>
      <c r="L107" s="18">
        <f t="shared" si="12"/>
        <v>0</v>
      </c>
      <c r="M107" s="55">
        <f t="shared" si="13"/>
        <v>0</v>
      </c>
      <c r="N107" s="55">
        <f t="shared" si="14"/>
        <v>0</v>
      </c>
      <c r="O107" s="55">
        <f t="shared" si="15"/>
        <v>0</v>
      </c>
      <c r="P107" s="55">
        <f t="shared" si="16"/>
        <v>6250</v>
      </c>
      <c r="Q107" s="94">
        <f t="shared" si="17"/>
        <v>-6250</v>
      </c>
    </row>
    <row r="108" spans="1:17">
      <c r="A108" s="17">
        <v>1557</v>
      </c>
      <c r="B108" s="17">
        <v>3</v>
      </c>
      <c r="C108" s="17" t="s">
        <v>31</v>
      </c>
      <c r="D108" s="17" t="s">
        <v>46</v>
      </c>
      <c r="E108" s="17">
        <v>1</v>
      </c>
      <c r="F108" s="17" t="s">
        <v>11</v>
      </c>
      <c r="G108" s="17" t="s">
        <v>15</v>
      </c>
      <c r="H108" s="17" t="str">
        <f t="shared" si="9"/>
        <v>Radial Atomizer</v>
      </c>
      <c r="I108" s="55">
        <f t="shared" si="10"/>
        <v>11500</v>
      </c>
      <c r="J108" s="17">
        <v>3</v>
      </c>
      <c r="K108" s="17">
        <f t="shared" si="11"/>
        <v>0</v>
      </c>
      <c r="L108" s="18">
        <f t="shared" si="12"/>
        <v>0</v>
      </c>
      <c r="M108" s="55">
        <f t="shared" si="13"/>
        <v>0</v>
      </c>
      <c r="N108" s="55">
        <f t="shared" si="14"/>
        <v>0</v>
      </c>
      <c r="O108" s="55">
        <f t="shared" si="15"/>
        <v>0</v>
      </c>
      <c r="P108" s="55">
        <f t="shared" si="16"/>
        <v>2000</v>
      </c>
      <c r="Q108" s="94">
        <f t="shared" si="17"/>
        <v>-2000</v>
      </c>
    </row>
    <row r="109" spans="1:17">
      <c r="A109" s="17">
        <v>1557</v>
      </c>
      <c r="B109" s="17">
        <v>1</v>
      </c>
      <c r="C109" s="17" t="s">
        <v>24</v>
      </c>
      <c r="D109" s="17" t="s">
        <v>50</v>
      </c>
      <c r="E109" s="17">
        <v>18</v>
      </c>
      <c r="F109" s="17" t="s">
        <v>10</v>
      </c>
      <c r="G109" s="17" t="s">
        <v>15</v>
      </c>
      <c r="H109" s="17" t="str">
        <f t="shared" si="9"/>
        <v>Radial Atomizer</v>
      </c>
      <c r="I109" s="55">
        <f t="shared" si="10"/>
        <v>11500</v>
      </c>
      <c r="J109" s="17">
        <v>6</v>
      </c>
      <c r="K109" s="17">
        <f t="shared" si="11"/>
        <v>1</v>
      </c>
      <c r="L109" s="18">
        <f t="shared" si="12"/>
        <v>69000</v>
      </c>
      <c r="M109" s="55">
        <f t="shared" si="13"/>
        <v>3450</v>
      </c>
      <c r="N109" s="55">
        <f t="shared" si="14"/>
        <v>3600</v>
      </c>
      <c r="O109" s="55">
        <f t="shared" si="15"/>
        <v>61950</v>
      </c>
      <c r="P109" s="55">
        <f t="shared" si="16"/>
        <v>6250</v>
      </c>
      <c r="Q109" s="94">
        <f t="shared" si="17"/>
        <v>55700</v>
      </c>
    </row>
    <row r="110" spans="1:17">
      <c r="A110" s="17">
        <v>1557</v>
      </c>
      <c r="B110" s="17">
        <v>2</v>
      </c>
      <c r="C110" s="17" t="s">
        <v>25</v>
      </c>
      <c r="D110" s="17" t="s">
        <v>50</v>
      </c>
      <c r="E110" s="17">
        <v>13</v>
      </c>
      <c r="F110" s="17" t="s">
        <v>10</v>
      </c>
      <c r="G110" s="17" t="s">
        <v>17</v>
      </c>
      <c r="H110" s="17" t="str">
        <f t="shared" si="9"/>
        <v>Half-Spar Radium Flange</v>
      </c>
      <c r="I110" s="55">
        <f t="shared" si="10"/>
        <v>1000</v>
      </c>
      <c r="J110" s="17">
        <v>2</v>
      </c>
      <c r="K110" s="17">
        <f t="shared" si="11"/>
        <v>1</v>
      </c>
      <c r="L110" s="18">
        <f t="shared" si="12"/>
        <v>2000</v>
      </c>
      <c r="M110" s="55">
        <f t="shared" si="13"/>
        <v>100</v>
      </c>
      <c r="N110" s="55">
        <f t="shared" si="14"/>
        <v>400</v>
      </c>
      <c r="O110" s="55">
        <f t="shared" si="15"/>
        <v>1500</v>
      </c>
      <c r="P110" s="55">
        <f t="shared" si="16"/>
        <v>8000</v>
      </c>
      <c r="Q110" s="94">
        <f t="shared" si="17"/>
        <v>-6500</v>
      </c>
    </row>
    <row r="111" spans="1:17">
      <c r="A111" s="17">
        <v>1557</v>
      </c>
      <c r="B111" s="17">
        <v>4</v>
      </c>
      <c r="C111" s="17" t="s">
        <v>24</v>
      </c>
      <c r="D111" s="17" t="s">
        <v>50</v>
      </c>
      <c r="E111" s="17">
        <v>6</v>
      </c>
      <c r="F111" s="17" t="s">
        <v>10</v>
      </c>
      <c r="G111" s="17" t="s">
        <v>15</v>
      </c>
      <c r="H111" s="17" t="str">
        <f t="shared" si="9"/>
        <v>Radial Atomizer</v>
      </c>
      <c r="I111" s="55">
        <f t="shared" si="10"/>
        <v>11500</v>
      </c>
      <c r="J111" s="17">
        <v>8</v>
      </c>
      <c r="K111" s="17">
        <f t="shared" si="11"/>
        <v>1</v>
      </c>
      <c r="L111" s="18">
        <f t="shared" si="12"/>
        <v>92000</v>
      </c>
      <c r="M111" s="55">
        <f t="shared" si="13"/>
        <v>4600</v>
      </c>
      <c r="N111" s="55">
        <f t="shared" si="14"/>
        <v>4800</v>
      </c>
      <c r="O111" s="55">
        <f t="shared" si="15"/>
        <v>82600</v>
      </c>
      <c r="P111" s="55">
        <f t="shared" si="16"/>
        <v>4166.666666666667</v>
      </c>
      <c r="Q111" s="94">
        <f t="shared" si="17"/>
        <v>78433.333333333328</v>
      </c>
    </row>
    <row r="112" spans="1:17">
      <c r="A112" s="17">
        <v>1562</v>
      </c>
      <c r="B112" s="17">
        <v>1</v>
      </c>
      <c r="C112" s="17" t="s">
        <v>25</v>
      </c>
      <c r="D112" s="17" t="s">
        <v>58</v>
      </c>
      <c r="E112" s="17">
        <v>2</v>
      </c>
      <c r="F112" s="17" t="s">
        <v>11</v>
      </c>
      <c r="G112" s="17" t="s">
        <v>17</v>
      </c>
      <c r="H112" s="17" t="str">
        <f t="shared" si="9"/>
        <v>Half-Spar Radium Flange</v>
      </c>
      <c r="I112" s="55">
        <f t="shared" si="10"/>
        <v>1000</v>
      </c>
      <c r="J112" s="17">
        <v>4</v>
      </c>
      <c r="K112" s="17">
        <f t="shared" si="11"/>
        <v>0</v>
      </c>
      <c r="L112" s="18">
        <f t="shared" si="12"/>
        <v>0</v>
      </c>
      <c r="M112" s="55">
        <f t="shared" si="13"/>
        <v>0</v>
      </c>
      <c r="N112" s="55">
        <f t="shared" si="14"/>
        <v>0</v>
      </c>
      <c r="O112" s="55">
        <f t="shared" si="15"/>
        <v>0</v>
      </c>
      <c r="P112" s="55">
        <f t="shared" si="16"/>
        <v>12000</v>
      </c>
      <c r="Q112" s="94">
        <f t="shared" si="17"/>
        <v>-12000</v>
      </c>
    </row>
    <row r="113" spans="1:17">
      <c r="A113" s="17">
        <v>1576</v>
      </c>
      <c r="B113" s="17">
        <v>2</v>
      </c>
      <c r="C113" s="17" t="s">
        <v>25</v>
      </c>
      <c r="D113" s="17" t="s">
        <v>58</v>
      </c>
      <c r="E113" s="17">
        <v>1</v>
      </c>
      <c r="F113" s="17" t="s">
        <v>11</v>
      </c>
      <c r="G113" s="17" t="s">
        <v>17</v>
      </c>
      <c r="H113" s="17" t="str">
        <f t="shared" si="9"/>
        <v>Half-Spar Radium Flange</v>
      </c>
      <c r="I113" s="55">
        <f t="shared" si="10"/>
        <v>1000</v>
      </c>
      <c r="J113" s="17">
        <v>6</v>
      </c>
      <c r="K113" s="17">
        <f t="shared" si="11"/>
        <v>0</v>
      </c>
      <c r="L113" s="18">
        <f t="shared" si="12"/>
        <v>0</v>
      </c>
      <c r="M113" s="55">
        <f t="shared" si="13"/>
        <v>0</v>
      </c>
      <c r="N113" s="55">
        <f t="shared" si="14"/>
        <v>0</v>
      </c>
      <c r="O113" s="55">
        <f t="shared" si="15"/>
        <v>0</v>
      </c>
      <c r="P113" s="55">
        <f t="shared" si="16"/>
        <v>8000</v>
      </c>
      <c r="Q113" s="94">
        <f t="shared" si="17"/>
        <v>-8000</v>
      </c>
    </row>
    <row r="114" spans="1:17">
      <c r="A114" s="17">
        <v>1583</v>
      </c>
      <c r="B114" s="17">
        <v>3</v>
      </c>
      <c r="C114" s="17" t="s">
        <v>31</v>
      </c>
      <c r="D114" s="17" t="s">
        <v>46</v>
      </c>
      <c r="E114" s="17">
        <v>1</v>
      </c>
      <c r="F114" s="17" t="s">
        <v>11</v>
      </c>
      <c r="G114" s="17" t="s">
        <v>15</v>
      </c>
      <c r="H114" s="17" t="str">
        <f t="shared" si="9"/>
        <v>Radial Atomizer</v>
      </c>
      <c r="I114" s="55">
        <f t="shared" si="10"/>
        <v>11500</v>
      </c>
      <c r="J114" s="17">
        <v>7</v>
      </c>
      <c r="K114" s="17">
        <f t="shared" si="11"/>
        <v>0</v>
      </c>
      <c r="L114" s="18">
        <f t="shared" si="12"/>
        <v>0</v>
      </c>
      <c r="M114" s="55">
        <f t="shared" si="13"/>
        <v>0</v>
      </c>
      <c r="N114" s="55">
        <f t="shared" si="14"/>
        <v>0</v>
      </c>
      <c r="O114" s="55">
        <f t="shared" si="15"/>
        <v>0</v>
      </c>
      <c r="P114" s="55">
        <f t="shared" si="16"/>
        <v>2000</v>
      </c>
      <c r="Q114" s="94">
        <f t="shared" si="17"/>
        <v>-2000</v>
      </c>
    </row>
    <row r="115" spans="1:17">
      <c r="A115" s="17">
        <v>1591</v>
      </c>
      <c r="B115" s="17">
        <v>2</v>
      </c>
      <c r="C115" s="17" t="s">
        <v>31</v>
      </c>
      <c r="D115" s="17" t="s">
        <v>46</v>
      </c>
      <c r="E115" s="17">
        <v>1</v>
      </c>
      <c r="F115" s="17" t="s">
        <v>11</v>
      </c>
      <c r="G115" s="17" t="s">
        <v>17</v>
      </c>
      <c r="H115" s="17" t="str">
        <f t="shared" si="9"/>
        <v>Half-Spar Radium Flange</v>
      </c>
      <c r="I115" s="55">
        <f t="shared" si="10"/>
        <v>1000</v>
      </c>
      <c r="J115" s="17">
        <v>7</v>
      </c>
      <c r="K115" s="17">
        <f t="shared" si="11"/>
        <v>0</v>
      </c>
      <c r="L115" s="18">
        <f t="shared" si="12"/>
        <v>0</v>
      </c>
      <c r="M115" s="55">
        <f t="shared" si="13"/>
        <v>0</v>
      </c>
      <c r="N115" s="55">
        <f t="shared" si="14"/>
        <v>0</v>
      </c>
      <c r="O115" s="55">
        <f t="shared" si="15"/>
        <v>0</v>
      </c>
      <c r="P115" s="55">
        <f t="shared" si="16"/>
        <v>2500</v>
      </c>
      <c r="Q115" s="94">
        <f t="shared" si="17"/>
        <v>-2500</v>
      </c>
    </row>
    <row r="116" spans="1:17">
      <c r="A116" s="17">
        <v>1606</v>
      </c>
      <c r="B116" s="17">
        <v>1</v>
      </c>
      <c r="C116" s="17" t="s">
        <v>31</v>
      </c>
      <c r="D116" s="17" t="s">
        <v>46</v>
      </c>
      <c r="E116" s="17">
        <v>1</v>
      </c>
      <c r="F116" s="17" t="s">
        <v>11</v>
      </c>
      <c r="G116" s="17" t="s">
        <v>18</v>
      </c>
      <c r="H116" s="17" t="str">
        <f t="shared" si="9"/>
        <v>Meezor Turbine Counter-Thruster</v>
      </c>
      <c r="I116" s="55">
        <f t="shared" si="10"/>
        <v>21296</v>
      </c>
      <c r="J116" s="17">
        <v>9</v>
      </c>
      <c r="K116" s="17">
        <f t="shared" si="11"/>
        <v>0</v>
      </c>
      <c r="L116" s="18">
        <f t="shared" si="12"/>
        <v>0</v>
      </c>
      <c r="M116" s="55">
        <f t="shared" si="13"/>
        <v>0</v>
      </c>
      <c r="N116" s="55">
        <f t="shared" si="14"/>
        <v>0</v>
      </c>
      <c r="O116" s="55">
        <f t="shared" si="15"/>
        <v>0</v>
      </c>
      <c r="P116" s="55">
        <f t="shared" si="16"/>
        <v>6250</v>
      </c>
      <c r="Q116" s="94">
        <f t="shared" si="17"/>
        <v>-6250</v>
      </c>
    </row>
    <row r="117" spans="1:17">
      <c r="A117" s="17">
        <v>1613</v>
      </c>
      <c r="B117" s="17">
        <v>4</v>
      </c>
      <c r="C117" s="17" t="s">
        <v>24</v>
      </c>
      <c r="D117" s="17" t="s">
        <v>46</v>
      </c>
      <c r="E117" s="17">
        <v>1</v>
      </c>
      <c r="F117" s="17" t="s">
        <v>9</v>
      </c>
      <c r="G117" s="17" t="s">
        <v>18</v>
      </c>
      <c r="H117" s="17" t="str">
        <f t="shared" si="9"/>
        <v>Meezor Turbine Counter-Thruster</v>
      </c>
      <c r="I117" s="55">
        <f t="shared" si="10"/>
        <v>21296</v>
      </c>
      <c r="J117" s="17">
        <v>3</v>
      </c>
      <c r="K117" s="17">
        <f t="shared" si="11"/>
        <v>0.05</v>
      </c>
      <c r="L117" s="18">
        <f t="shared" si="12"/>
        <v>3194.4</v>
      </c>
      <c r="M117" s="55">
        <f t="shared" si="13"/>
        <v>319.44000000000005</v>
      </c>
      <c r="N117" s="55">
        <f t="shared" si="14"/>
        <v>1800</v>
      </c>
      <c r="O117" s="55">
        <f t="shared" si="15"/>
        <v>1074.96</v>
      </c>
      <c r="P117" s="55">
        <f t="shared" si="16"/>
        <v>4166.666666666667</v>
      </c>
      <c r="Q117" s="94">
        <f t="shared" si="17"/>
        <v>-3091.7066666666669</v>
      </c>
    </row>
    <row r="118" spans="1:17">
      <c r="A118" s="17">
        <v>1613</v>
      </c>
      <c r="B118" s="17">
        <v>3</v>
      </c>
      <c r="C118" s="17" t="s">
        <v>31</v>
      </c>
      <c r="D118" s="17" t="s">
        <v>58</v>
      </c>
      <c r="E118" s="17">
        <v>1</v>
      </c>
      <c r="F118" s="17" t="s">
        <v>11</v>
      </c>
      <c r="G118" s="17" t="s">
        <v>17</v>
      </c>
      <c r="H118" s="17" t="str">
        <f t="shared" si="9"/>
        <v>Half-Spar Radium Flange</v>
      </c>
      <c r="I118" s="55">
        <f t="shared" si="10"/>
        <v>1000</v>
      </c>
      <c r="J118" s="17">
        <v>11</v>
      </c>
      <c r="K118" s="17">
        <f t="shared" si="11"/>
        <v>0</v>
      </c>
      <c r="L118" s="18">
        <f t="shared" si="12"/>
        <v>0</v>
      </c>
      <c r="M118" s="55">
        <f t="shared" si="13"/>
        <v>0</v>
      </c>
      <c r="N118" s="55">
        <f t="shared" si="14"/>
        <v>0</v>
      </c>
      <c r="O118" s="55">
        <f t="shared" si="15"/>
        <v>0</v>
      </c>
      <c r="P118" s="55">
        <f t="shared" si="16"/>
        <v>2000</v>
      </c>
      <c r="Q118" s="94">
        <f t="shared" si="17"/>
        <v>-2000</v>
      </c>
    </row>
    <row r="119" spans="1:17">
      <c r="A119" s="17">
        <v>1630</v>
      </c>
      <c r="B119" s="17">
        <v>1</v>
      </c>
      <c r="C119" s="17" t="s">
        <v>31</v>
      </c>
      <c r="D119" s="17" t="s">
        <v>46</v>
      </c>
      <c r="E119" s="17">
        <v>1</v>
      </c>
      <c r="F119" s="17" t="s">
        <v>11</v>
      </c>
      <c r="G119" s="17" t="s">
        <v>15</v>
      </c>
      <c r="H119" s="17" t="str">
        <f t="shared" si="9"/>
        <v>Radial Atomizer</v>
      </c>
      <c r="I119" s="55">
        <f t="shared" si="10"/>
        <v>11500</v>
      </c>
      <c r="J119" s="17">
        <v>15</v>
      </c>
      <c r="K119" s="17">
        <f t="shared" si="11"/>
        <v>0</v>
      </c>
      <c r="L119" s="18">
        <f t="shared" si="12"/>
        <v>0</v>
      </c>
      <c r="M119" s="55">
        <f t="shared" si="13"/>
        <v>0</v>
      </c>
      <c r="N119" s="55">
        <f t="shared" si="14"/>
        <v>0</v>
      </c>
      <c r="O119" s="55">
        <f t="shared" si="15"/>
        <v>0</v>
      </c>
      <c r="P119" s="55">
        <f t="shared" si="16"/>
        <v>6250</v>
      </c>
      <c r="Q119" s="94">
        <f t="shared" si="17"/>
        <v>-6250</v>
      </c>
    </row>
    <row r="120" spans="1:17">
      <c r="A120" s="17">
        <v>1630</v>
      </c>
      <c r="B120" s="17">
        <v>2</v>
      </c>
      <c r="C120" s="17" t="s">
        <v>25</v>
      </c>
      <c r="D120" s="17" t="s">
        <v>58</v>
      </c>
      <c r="E120" s="17">
        <v>3</v>
      </c>
      <c r="F120" s="17" t="s">
        <v>11</v>
      </c>
      <c r="G120" s="17" t="s">
        <v>16</v>
      </c>
      <c r="H120" s="17" t="str">
        <f t="shared" si="9"/>
        <v>Centurion Mezzle Spark Igniter</v>
      </c>
      <c r="I120" s="55">
        <f t="shared" si="10"/>
        <v>1500</v>
      </c>
      <c r="J120" s="17">
        <v>4</v>
      </c>
      <c r="K120" s="17">
        <f t="shared" si="11"/>
        <v>0</v>
      </c>
      <c r="L120" s="18">
        <f t="shared" si="12"/>
        <v>0</v>
      </c>
      <c r="M120" s="55">
        <f t="shared" si="13"/>
        <v>0</v>
      </c>
      <c r="N120" s="55">
        <f t="shared" si="14"/>
        <v>0</v>
      </c>
      <c r="O120" s="55">
        <f t="shared" si="15"/>
        <v>0</v>
      </c>
      <c r="P120" s="55">
        <f t="shared" si="16"/>
        <v>8000</v>
      </c>
      <c r="Q120" s="94">
        <f t="shared" si="17"/>
        <v>-8000</v>
      </c>
    </row>
    <row r="121" spans="1:17">
      <c r="A121" s="17">
        <v>1630</v>
      </c>
      <c r="B121" s="17">
        <v>3</v>
      </c>
      <c r="C121" s="17" t="s">
        <v>31</v>
      </c>
      <c r="D121" s="17" t="s">
        <v>50</v>
      </c>
      <c r="E121" s="17">
        <v>3</v>
      </c>
      <c r="F121" s="17" t="s">
        <v>10</v>
      </c>
      <c r="G121" s="17" t="s">
        <v>17</v>
      </c>
      <c r="H121" s="17" t="str">
        <f t="shared" si="9"/>
        <v>Half-Spar Radium Flange</v>
      </c>
      <c r="I121" s="55">
        <f t="shared" si="10"/>
        <v>1000</v>
      </c>
      <c r="J121" s="17">
        <v>11</v>
      </c>
      <c r="K121" s="17">
        <f t="shared" si="11"/>
        <v>1</v>
      </c>
      <c r="L121" s="18">
        <f t="shared" si="12"/>
        <v>11000</v>
      </c>
      <c r="M121" s="55">
        <f t="shared" si="13"/>
        <v>550</v>
      </c>
      <c r="N121" s="55">
        <f t="shared" si="14"/>
        <v>2200</v>
      </c>
      <c r="O121" s="55">
        <f t="shared" si="15"/>
        <v>8250</v>
      </c>
      <c r="P121" s="55">
        <f t="shared" si="16"/>
        <v>2000</v>
      </c>
      <c r="Q121" s="94">
        <f t="shared" si="17"/>
        <v>6250</v>
      </c>
    </row>
    <row r="122" spans="1:17">
      <c r="A122" s="17">
        <v>1645</v>
      </c>
      <c r="B122" s="17">
        <v>4</v>
      </c>
      <c r="C122" s="17" t="s">
        <v>25</v>
      </c>
      <c r="D122" s="17" t="s">
        <v>46</v>
      </c>
      <c r="E122" s="17">
        <v>1</v>
      </c>
      <c r="F122" s="17" t="s">
        <v>9</v>
      </c>
      <c r="G122" s="17" t="s">
        <v>15</v>
      </c>
      <c r="H122" s="17" t="str">
        <f t="shared" si="9"/>
        <v>Radial Atomizer</v>
      </c>
      <c r="I122" s="55">
        <f t="shared" si="10"/>
        <v>11500</v>
      </c>
      <c r="J122" s="17">
        <v>3</v>
      </c>
      <c r="K122" s="17">
        <f t="shared" si="11"/>
        <v>0.05</v>
      </c>
      <c r="L122" s="18">
        <f t="shared" si="12"/>
        <v>1725</v>
      </c>
      <c r="M122" s="55">
        <f t="shared" si="13"/>
        <v>86.25</v>
      </c>
      <c r="N122" s="55">
        <f t="shared" si="14"/>
        <v>90</v>
      </c>
      <c r="O122" s="55">
        <f t="shared" si="15"/>
        <v>1548.75</v>
      </c>
      <c r="P122" s="55">
        <f t="shared" si="16"/>
        <v>20000</v>
      </c>
      <c r="Q122" s="94">
        <f t="shared" si="17"/>
        <v>-18451.25</v>
      </c>
    </row>
    <row r="123" spans="1:17">
      <c r="A123" s="17">
        <v>1646</v>
      </c>
      <c r="B123" s="17">
        <v>4</v>
      </c>
      <c r="C123" s="17" t="s">
        <v>24</v>
      </c>
      <c r="D123" s="17" t="s">
        <v>46</v>
      </c>
      <c r="E123" s="17">
        <v>1</v>
      </c>
      <c r="F123" s="17" t="s">
        <v>9</v>
      </c>
      <c r="G123" s="17" t="s">
        <v>15</v>
      </c>
      <c r="H123" s="17" t="str">
        <f t="shared" si="9"/>
        <v>Radial Atomizer</v>
      </c>
      <c r="I123" s="55">
        <f t="shared" si="10"/>
        <v>11500</v>
      </c>
      <c r="J123" s="17">
        <v>3</v>
      </c>
      <c r="K123" s="17">
        <f t="shared" si="11"/>
        <v>0.05</v>
      </c>
      <c r="L123" s="18">
        <f t="shared" si="12"/>
        <v>1725</v>
      </c>
      <c r="M123" s="55">
        <f t="shared" si="13"/>
        <v>86.25</v>
      </c>
      <c r="N123" s="55">
        <f t="shared" si="14"/>
        <v>90</v>
      </c>
      <c r="O123" s="55">
        <f t="shared" si="15"/>
        <v>1548.75</v>
      </c>
      <c r="P123" s="55">
        <f t="shared" si="16"/>
        <v>4166.666666666667</v>
      </c>
      <c r="Q123" s="94">
        <f t="shared" si="17"/>
        <v>-2617.916666666667</v>
      </c>
    </row>
    <row r="124" spans="1:17">
      <c r="A124" s="17">
        <v>1670</v>
      </c>
      <c r="B124" s="17">
        <v>4</v>
      </c>
      <c r="C124" s="17" t="s">
        <v>25</v>
      </c>
      <c r="D124" s="17" t="s">
        <v>48</v>
      </c>
      <c r="E124" s="17">
        <v>4</v>
      </c>
      <c r="F124" s="17" t="s">
        <v>9</v>
      </c>
      <c r="G124" s="17" t="s">
        <v>16</v>
      </c>
      <c r="H124" s="17" t="str">
        <f t="shared" si="9"/>
        <v>Centurion Mezzle Spark Igniter</v>
      </c>
      <c r="I124" s="55">
        <f t="shared" si="10"/>
        <v>1500</v>
      </c>
      <c r="J124" s="17">
        <v>6</v>
      </c>
      <c r="K124" s="17">
        <f t="shared" si="11"/>
        <v>0.85</v>
      </c>
      <c r="L124" s="18">
        <f t="shared" si="12"/>
        <v>7650</v>
      </c>
      <c r="M124" s="55">
        <f t="shared" si="13"/>
        <v>1147.5</v>
      </c>
      <c r="N124" s="55">
        <f t="shared" si="14"/>
        <v>2040</v>
      </c>
      <c r="O124" s="55">
        <f t="shared" si="15"/>
        <v>4462.5</v>
      </c>
      <c r="P124" s="55">
        <f t="shared" si="16"/>
        <v>20000</v>
      </c>
      <c r="Q124" s="94">
        <f t="shared" si="17"/>
        <v>-15537.5</v>
      </c>
    </row>
    <row r="125" spans="1:17">
      <c r="A125" s="17">
        <v>1670</v>
      </c>
      <c r="B125" s="17">
        <v>3</v>
      </c>
      <c r="C125" s="17" t="s">
        <v>31</v>
      </c>
      <c r="D125" s="17" t="s">
        <v>50</v>
      </c>
      <c r="E125" s="17">
        <v>4</v>
      </c>
      <c r="F125" s="17" t="s">
        <v>10</v>
      </c>
      <c r="G125" s="17" t="s">
        <v>17</v>
      </c>
      <c r="H125" s="17" t="str">
        <f t="shared" si="9"/>
        <v>Half-Spar Radium Flange</v>
      </c>
      <c r="I125" s="55">
        <f t="shared" si="10"/>
        <v>1000</v>
      </c>
      <c r="J125" s="17">
        <v>2</v>
      </c>
      <c r="K125" s="17">
        <f t="shared" si="11"/>
        <v>1</v>
      </c>
      <c r="L125" s="18">
        <f t="shared" si="12"/>
        <v>2000</v>
      </c>
      <c r="M125" s="55">
        <f t="shared" si="13"/>
        <v>100</v>
      </c>
      <c r="N125" s="55">
        <f t="shared" si="14"/>
        <v>400</v>
      </c>
      <c r="O125" s="55">
        <f t="shared" si="15"/>
        <v>1500</v>
      </c>
      <c r="P125" s="55">
        <f t="shared" si="16"/>
        <v>2000</v>
      </c>
      <c r="Q125" s="94">
        <f t="shared" si="17"/>
        <v>-500</v>
      </c>
    </row>
    <row r="126" spans="1:17">
      <c r="A126" s="17">
        <v>1683</v>
      </c>
      <c r="B126" s="17">
        <v>4</v>
      </c>
      <c r="C126" s="17" t="s">
        <v>31</v>
      </c>
      <c r="D126" s="17" t="s">
        <v>47</v>
      </c>
      <c r="E126" s="17">
        <v>1</v>
      </c>
      <c r="F126" s="17" t="s">
        <v>9</v>
      </c>
      <c r="G126" s="17" t="s">
        <v>17</v>
      </c>
      <c r="H126" s="17" t="str">
        <f t="shared" si="9"/>
        <v>Half-Spar Radium Flange</v>
      </c>
      <c r="I126" s="55">
        <f t="shared" si="10"/>
        <v>1000</v>
      </c>
      <c r="J126" s="17">
        <v>5</v>
      </c>
      <c r="K126" s="17">
        <f t="shared" si="11"/>
        <v>0.25</v>
      </c>
      <c r="L126" s="18">
        <f t="shared" si="12"/>
        <v>1250</v>
      </c>
      <c r="M126" s="55">
        <f t="shared" si="13"/>
        <v>62.5</v>
      </c>
      <c r="N126" s="55">
        <f t="shared" si="14"/>
        <v>250</v>
      </c>
      <c r="O126" s="55">
        <f t="shared" si="15"/>
        <v>937.5</v>
      </c>
      <c r="P126" s="55">
        <f t="shared" si="16"/>
        <v>2000</v>
      </c>
      <c r="Q126" s="94">
        <f t="shared" si="17"/>
        <v>-1062.5</v>
      </c>
    </row>
    <row r="127" spans="1:17">
      <c r="A127" s="17">
        <v>1716</v>
      </c>
      <c r="B127" s="17">
        <v>4</v>
      </c>
      <c r="C127" s="17" t="s">
        <v>24</v>
      </c>
      <c r="D127" s="17" t="s">
        <v>58</v>
      </c>
      <c r="E127" s="17">
        <v>2</v>
      </c>
      <c r="F127" s="17" t="s">
        <v>9</v>
      </c>
      <c r="G127" s="17" t="s">
        <v>15</v>
      </c>
      <c r="H127" s="17" t="str">
        <f t="shared" si="9"/>
        <v>Radial Atomizer</v>
      </c>
      <c r="I127" s="55">
        <f t="shared" si="10"/>
        <v>11500</v>
      </c>
      <c r="J127" s="17">
        <v>3</v>
      </c>
      <c r="K127" s="17">
        <f t="shared" si="11"/>
        <v>0.5</v>
      </c>
      <c r="L127" s="18">
        <f t="shared" si="12"/>
        <v>17250</v>
      </c>
      <c r="M127" s="55">
        <f t="shared" si="13"/>
        <v>862.5</v>
      </c>
      <c r="N127" s="55">
        <f t="shared" si="14"/>
        <v>900</v>
      </c>
      <c r="O127" s="55">
        <f t="shared" si="15"/>
        <v>15487.5</v>
      </c>
      <c r="P127" s="55">
        <f t="shared" si="16"/>
        <v>4166.666666666667</v>
      </c>
      <c r="Q127" s="94">
        <f t="shared" si="17"/>
        <v>11320.833333333332</v>
      </c>
    </row>
    <row r="128" spans="1:17">
      <c r="A128" s="17">
        <v>1716</v>
      </c>
      <c r="B128" s="17">
        <v>3</v>
      </c>
      <c r="C128" s="17" t="s">
        <v>31</v>
      </c>
      <c r="D128" s="17" t="s">
        <v>50</v>
      </c>
      <c r="E128" s="17">
        <v>2</v>
      </c>
      <c r="F128" s="17" t="s">
        <v>10</v>
      </c>
      <c r="G128" s="17" t="s">
        <v>17</v>
      </c>
      <c r="H128" s="17" t="str">
        <f t="shared" si="9"/>
        <v>Half-Spar Radium Flange</v>
      </c>
      <c r="I128" s="55">
        <f t="shared" si="10"/>
        <v>1000</v>
      </c>
      <c r="J128" s="17">
        <v>4</v>
      </c>
      <c r="K128" s="17">
        <f t="shared" si="11"/>
        <v>1</v>
      </c>
      <c r="L128" s="18">
        <f t="shared" si="12"/>
        <v>4000</v>
      </c>
      <c r="M128" s="55">
        <f t="shared" si="13"/>
        <v>200</v>
      </c>
      <c r="N128" s="55">
        <f t="shared" si="14"/>
        <v>800</v>
      </c>
      <c r="O128" s="55">
        <f t="shared" si="15"/>
        <v>3000</v>
      </c>
      <c r="P128" s="55">
        <f t="shared" si="16"/>
        <v>2000</v>
      </c>
      <c r="Q128" s="94">
        <f t="shared" si="17"/>
        <v>1000</v>
      </c>
    </row>
    <row r="129" spans="1:17">
      <c r="A129" s="17">
        <v>1725</v>
      </c>
      <c r="B129" s="17">
        <v>4</v>
      </c>
      <c r="C129" s="17" t="s">
        <v>31</v>
      </c>
      <c r="D129" s="17" t="s">
        <v>46</v>
      </c>
      <c r="E129" s="17">
        <v>1</v>
      </c>
      <c r="F129" s="17" t="s">
        <v>9</v>
      </c>
      <c r="G129" s="17" t="s">
        <v>17</v>
      </c>
      <c r="H129" s="17" t="str">
        <f t="shared" si="9"/>
        <v>Half-Spar Radium Flange</v>
      </c>
      <c r="I129" s="55">
        <f t="shared" si="10"/>
        <v>1000</v>
      </c>
      <c r="J129" s="17">
        <v>7</v>
      </c>
      <c r="K129" s="17">
        <f t="shared" si="11"/>
        <v>0.05</v>
      </c>
      <c r="L129" s="18">
        <f t="shared" si="12"/>
        <v>350</v>
      </c>
      <c r="M129" s="55">
        <f t="shared" si="13"/>
        <v>17.5</v>
      </c>
      <c r="N129" s="55">
        <f t="shared" si="14"/>
        <v>70</v>
      </c>
      <c r="O129" s="55">
        <f t="shared" si="15"/>
        <v>262.5</v>
      </c>
      <c r="P129" s="55">
        <f t="shared" si="16"/>
        <v>2000</v>
      </c>
      <c r="Q129" s="94">
        <f t="shared" si="17"/>
        <v>-1737.5</v>
      </c>
    </row>
    <row r="130" spans="1:17">
      <c r="A130" s="17">
        <v>1737</v>
      </c>
      <c r="B130" s="17">
        <v>1</v>
      </c>
      <c r="C130" s="17" t="s">
        <v>24</v>
      </c>
      <c r="D130" s="17" t="s">
        <v>50</v>
      </c>
      <c r="E130" s="17">
        <v>5</v>
      </c>
      <c r="F130" s="17" t="s">
        <v>10</v>
      </c>
      <c r="G130" s="17" t="s">
        <v>17</v>
      </c>
      <c r="H130" s="17" t="str">
        <f t="shared" ref="H130:H193" si="18">LOOKUP($G130,ProductProdID,ProductProdName)</f>
        <v>Half-Spar Radium Flange</v>
      </c>
      <c r="I130" s="55">
        <f t="shared" ref="I130:I193" si="19">INDEX(ProductPrice,MATCH($G130,ProductProdID,0))</f>
        <v>1000</v>
      </c>
      <c r="J130" s="17">
        <v>5</v>
      </c>
      <c r="K130" s="17">
        <f t="shared" ref="K130:K193" si="20">IF(F130=StatusLose,0,INDEX(ProcessStageProb,MATCH($D130,ProcessStageName,0)))</f>
        <v>1</v>
      </c>
      <c r="L130" s="18">
        <f t="shared" ref="L130:L193" si="21">I130*J130*K130</f>
        <v>5000</v>
      </c>
      <c r="M130" s="55">
        <f t="shared" ref="M130:M193" si="22">INDEX(ProductCommRate,MATCH($G130,ProductProdID,0))*$L130</f>
        <v>250</v>
      </c>
      <c r="N130" s="55">
        <f t="shared" ref="N130:N193" si="23">INDEX(ProductUnitCost,MATCH($G130,ProductProdID,0))*$J130*$K130</f>
        <v>1000</v>
      </c>
      <c r="O130" s="55">
        <f t="shared" ref="O130:O193" si="24">L130-M130-N130</f>
        <v>3750</v>
      </c>
      <c r="P130" s="55">
        <f t="shared" ref="P130:P193" si="25">VLOOKUP(C130,LeadSourceTable,(B130+1),FALSE)/COUNTIFS(TransactionsQuarter,B130,TransactionsLeadSource,C130)</f>
        <v>6250</v>
      </c>
      <c r="Q130" s="94">
        <f t="shared" ref="Q130:Q193" si="26">L130-M130-N130-P130</f>
        <v>-2500</v>
      </c>
    </row>
    <row r="131" spans="1:17">
      <c r="A131" s="17">
        <v>1783</v>
      </c>
      <c r="B131" s="17">
        <v>4</v>
      </c>
      <c r="C131" s="17" t="s">
        <v>24</v>
      </c>
      <c r="D131" s="17" t="s">
        <v>46</v>
      </c>
      <c r="E131" s="17">
        <v>1</v>
      </c>
      <c r="F131" s="17" t="s">
        <v>9</v>
      </c>
      <c r="G131" s="17" t="s">
        <v>18</v>
      </c>
      <c r="H131" s="17" t="str">
        <f t="shared" si="18"/>
        <v>Meezor Turbine Counter-Thruster</v>
      </c>
      <c r="I131" s="55">
        <f t="shared" si="19"/>
        <v>21296</v>
      </c>
      <c r="J131" s="17">
        <v>3</v>
      </c>
      <c r="K131" s="17">
        <f t="shared" si="20"/>
        <v>0.05</v>
      </c>
      <c r="L131" s="18">
        <f t="shared" si="21"/>
        <v>3194.4</v>
      </c>
      <c r="M131" s="55">
        <f t="shared" si="22"/>
        <v>319.44000000000005</v>
      </c>
      <c r="N131" s="55">
        <f t="shared" si="23"/>
        <v>1800</v>
      </c>
      <c r="O131" s="55">
        <f t="shared" si="24"/>
        <v>1074.96</v>
      </c>
      <c r="P131" s="55">
        <f t="shared" si="25"/>
        <v>4166.666666666667</v>
      </c>
      <c r="Q131" s="94">
        <f t="shared" si="26"/>
        <v>-3091.7066666666669</v>
      </c>
    </row>
    <row r="132" spans="1:17">
      <c r="A132" s="17">
        <v>1783</v>
      </c>
      <c r="B132" s="17">
        <v>3</v>
      </c>
      <c r="C132" s="17" t="s">
        <v>25</v>
      </c>
      <c r="D132" s="17" t="s">
        <v>58</v>
      </c>
      <c r="E132" s="17">
        <v>2</v>
      </c>
      <c r="F132" s="17" t="s">
        <v>11</v>
      </c>
      <c r="G132" s="17" t="s">
        <v>16</v>
      </c>
      <c r="H132" s="17" t="str">
        <f t="shared" si="18"/>
        <v>Centurion Mezzle Spark Igniter</v>
      </c>
      <c r="I132" s="55">
        <f t="shared" si="19"/>
        <v>1500</v>
      </c>
      <c r="J132" s="17">
        <v>3</v>
      </c>
      <c r="K132" s="17">
        <f t="shared" si="20"/>
        <v>0</v>
      </c>
      <c r="L132" s="18">
        <f t="shared" si="21"/>
        <v>0</v>
      </c>
      <c r="M132" s="55">
        <f t="shared" si="22"/>
        <v>0</v>
      </c>
      <c r="N132" s="55">
        <f t="shared" si="23"/>
        <v>0</v>
      </c>
      <c r="O132" s="55">
        <f t="shared" si="24"/>
        <v>0</v>
      </c>
      <c r="P132" s="55">
        <f t="shared" si="25"/>
        <v>9230.7692307692305</v>
      </c>
      <c r="Q132" s="94">
        <f t="shared" si="26"/>
        <v>-9230.7692307692305</v>
      </c>
    </row>
    <row r="133" spans="1:17">
      <c r="A133" s="17">
        <v>1783</v>
      </c>
      <c r="B133" s="17">
        <v>2</v>
      </c>
      <c r="C133" s="17" t="s">
        <v>26</v>
      </c>
      <c r="D133" s="17" t="s">
        <v>50</v>
      </c>
      <c r="E133" s="17">
        <v>3</v>
      </c>
      <c r="F133" s="17" t="s">
        <v>10</v>
      </c>
      <c r="G133" s="17" t="s">
        <v>17</v>
      </c>
      <c r="H133" s="17" t="str">
        <f t="shared" si="18"/>
        <v>Half-Spar Radium Flange</v>
      </c>
      <c r="I133" s="55">
        <f t="shared" si="19"/>
        <v>1000</v>
      </c>
      <c r="J133" s="17">
        <v>8</v>
      </c>
      <c r="K133" s="17">
        <f t="shared" si="20"/>
        <v>1</v>
      </c>
      <c r="L133" s="18">
        <f t="shared" si="21"/>
        <v>8000</v>
      </c>
      <c r="M133" s="55">
        <f t="shared" si="22"/>
        <v>400</v>
      </c>
      <c r="N133" s="55">
        <f t="shared" si="23"/>
        <v>1600</v>
      </c>
      <c r="O133" s="55">
        <f t="shared" si="24"/>
        <v>6000</v>
      </c>
      <c r="P133" s="55">
        <f t="shared" si="25"/>
        <v>2727.2727272727275</v>
      </c>
      <c r="Q133" s="94">
        <f t="shared" si="26"/>
        <v>3272.7272727272725</v>
      </c>
    </row>
    <row r="134" spans="1:17">
      <c r="A134" s="17">
        <v>1798</v>
      </c>
      <c r="B134" s="17">
        <v>2</v>
      </c>
      <c r="C134" s="17" t="s">
        <v>31</v>
      </c>
      <c r="D134" s="17" t="s">
        <v>50</v>
      </c>
      <c r="E134" s="17">
        <v>2</v>
      </c>
      <c r="F134" s="17" t="s">
        <v>10</v>
      </c>
      <c r="G134" s="17" t="s">
        <v>17</v>
      </c>
      <c r="H134" s="17" t="str">
        <f t="shared" si="18"/>
        <v>Half-Spar Radium Flange</v>
      </c>
      <c r="I134" s="55">
        <f t="shared" si="19"/>
        <v>1000</v>
      </c>
      <c r="J134" s="17">
        <v>9</v>
      </c>
      <c r="K134" s="17">
        <f t="shared" si="20"/>
        <v>1</v>
      </c>
      <c r="L134" s="18">
        <f t="shared" si="21"/>
        <v>9000</v>
      </c>
      <c r="M134" s="55">
        <f t="shared" si="22"/>
        <v>450</v>
      </c>
      <c r="N134" s="55">
        <f t="shared" si="23"/>
        <v>1800</v>
      </c>
      <c r="O134" s="55">
        <f t="shared" si="24"/>
        <v>6750</v>
      </c>
      <c r="P134" s="55">
        <f t="shared" si="25"/>
        <v>2500</v>
      </c>
      <c r="Q134" s="94">
        <f t="shared" si="26"/>
        <v>4250</v>
      </c>
    </row>
    <row r="135" spans="1:17">
      <c r="A135" s="17">
        <v>1812</v>
      </c>
      <c r="B135" s="17">
        <v>2</v>
      </c>
      <c r="C135" s="17" t="s">
        <v>31</v>
      </c>
      <c r="D135" s="17" t="s">
        <v>50</v>
      </c>
      <c r="E135" s="17">
        <v>5</v>
      </c>
      <c r="F135" s="17" t="s">
        <v>10</v>
      </c>
      <c r="G135" s="17" t="s">
        <v>17</v>
      </c>
      <c r="H135" s="17" t="str">
        <f t="shared" si="18"/>
        <v>Half-Spar Radium Flange</v>
      </c>
      <c r="I135" s="55">
        <f t="shared" si="19"/>
        <v>1000</v>
      </c>
      <c r="J135" s="17">
        <v>9</v>
      </c>
      <c r="K135" s="17">
        <f t="shared" si="20"/>
        <v>1</v>
      </c>
      <c r="L135" s="18">
        <f t="shared" si="21"/>
        <v>9000</v>
      </c>
      <c r="M135" s="55">
        <f t="shared" si="22"/>
        <v>450</v>
      </c>
      <c r="N135" s="55">
        <f t="shared" si="23"/>
        <v>1800</v>
      </c>
      <c r="O135" s="55">
        <f t="shared" si="24"/>
        <v>6750</v>
      </c>
      <c r="P135" s="55">
        <f t="shared" si="25"/>
        <v>2500</v>
      </c>
      <c r="Q135" s="94">
        <f t="shared" si="26"/>
        <v>4250</v>
      </c>
    </row>
    <row r="136" spans="1:17">
      <c r="A136" s="17">
        <v>1830</v>
      </c>
      <c r="B136" s="17">
        <v>3</v>
      </c>
      <c r="C136" s="17" t="s">
        <v>25</v>
      </c>
      <c r="D136" s="17" t="s">
        <v>58</v>
      </c>
      <c r="E136" s="17">
        <v>4</v>
      </c>
      <c r="F136" s="17" t="s">
        <v>11</v>
      </c>
      <c r="G136" s="17" t="s">
        <v>16</v>
      </c>
      <c r="H136" s="17" t="str">
        <f t="shared" si="18"/>
        <v>Centurion Mezzle Spark Igniter</v>
      </c>
      <c r="I136" s="55">
        <f t="shared" si="19"/>
        <v>1500</v>
      </c>
      <c r="J136" s="17">
        <v>2</v>
      </c>
      <c r="K136" s="17">
        <f t="shared" si="20"/>
        <v>0</v>
      </c>
      <c r="L136" s="18">
        <f t="shared" si="21"/>
        <v>0</v>
      </c>
      <c r="M136" s="55">
        <f t="shared" si="22"/>
        <v>0</v>
      </c>
      <c r="N136" s="55">
        <f t="shared" si="23"/>
        <v>0</v>
      </c>
      <c r="O136" s="55">
        <f t="shared" si="24"/>
        <v>0</v>
      </c>
      <c r="P136" s="55">
        <f t="shared" si="25"/>
        <v>9230.7692307692305</v>
      </c>
      <c r="Q136" s="94">
        <f t="shared" si="26"/>
        <v>-9230.7692307692305</v>
      </c>
    </row>
    <row r="137" spans="1:17">
      <c r="A137" s="17">
        <v>1830</v>
      </c>
      <c r="B137" s="17">
        <v>4</v>
      </c>
      <c r="C137" s="17" t="s">
        <v>31</v>
      </c>
      <c r="D137" s="17" t="s">
        <v>58</v>
      </c>
      <c r="E137" s="17">
        <v>3</v>
      </c>
      <c r="F137" s="17" t="s">
        <v>9</v>
      </c>
      <c r="G137" s="17" t="s">
        <v>17</v>
      </c>
      <c r="H137" s="17" t="str">
        <f t="shared" si="18"/>
        <v>Half-Spar Radium Flange</v>
      </c>
      <c r="I137" s="55">
        <f t="shared" si="19"/>
        <v>1000</v>
      </c>
      <c r="J137" s="17">
        <v>15</v>
      </c>
      <c r="K137" s="17">
        <f t="shared" si="20"/>
        <v>0.5</v>
      </c>
      <c r="L137" s="18">
        <f t="shared" si="21"/>
        <v>7500</v>
      </c>
      <c r="M137" s="55">
        <f t="shared" si="22"/>
        <v>375</v>
      </c>
      <c r="N137" s="55">
        <f t="shared" si="23"/>
        <v>1500</v>
      </c>
      <c r="O137" s="55">
        <f t="shared" si="24"/>
        <v>5625</v>
      </c>
      <c r="P137" s="55">
        <f t="shared" si="25"/>
        <v>2000</v>
      </c>
      <c r="Q137" s="94">
        <f t="shared" si="26"/>
        <v>3625</v>
      </c>
    </row>
    <row r="138" spans="1:17">
      <c r="A138" s="17">
        <v>1830</v>
      </c>
      <c r="B138" s="17">
        <v>2</v>
      </c>
      <c r="C138" s="17" t="s">
        <v>24</v>
      </c>
      <c r="D138" s="17" t="s">
        <v>50</v>
      </c>
      <c r="E138" s="17">
        <v>5</v>
      </c>
      <c r="F138" s="17" t="s">
        <v>10</v>
      </c>
      <c r="G138" s="17" t="s">
        <v>17</v>
      </c>
      <c r="H138" s="17" t="str">
        <f t="shared" si="18"/>
        <v>Half-Spar Radium Flange</v>
      </c>
      <c r="I138" s="55">
        <f t="shared" si="19"/>
        <v>1000</v>
      </c>
      <c r="J138" s="17">
        <v>11</v>
      </c>
      <c r="K138" s="17">
        <f t="shared" si="20"/>
        <v>1</v>
      </c>
      <c r="L138" s="18">
        <f t="shared" si="21"/>
        <v>11000</v>
      </c>
      <c r="M138" s="55">
        <f t="shared" si="22"/>
        <v>550</v>
      </c>
      <c r="N138" s="55">
        <f t="shared" si="23"/>
        <v>2200</v>
      </c>
      <c r="O138" s="55">
        <f t="shared" si="24"/>
        <v>8250</v>
      </c>
      <c r="P138" s="55">
        <f t="shared" si="25"/>
        <v>8333.3333333333339</v>
      </c>
      <c r="Q138" s="94">
        <f t="shared" si="26"/>
        <v>-83.33333333333394</v>
      </c>
    </row>
    <row r="139" spans="1:17">
      <c r="A139" s="17">
        <v>1840</v>
      </c>
      <c r="B139" s="17">
        <v>4</v>
      </c>
      <c r="C139" s="17" t="s">
        <v>31</v>
      </c>
      <c r="D139" s="17" t="s">
        <v>46</v>
      </c>
      <c r="E139" s="17">
        <v>2</v>
      </c>
      <c r="F139" s="17" t="s">
        <v>9</v>
      </c>
      <c r="G139" s="17" t="s">
        <v>15</v>
      </c>
      <c r="H139" s="17" t="str">
        <f t="shared" si="18"/>
        <v>Radial Atomizer</v>
      </c>
      <c r="I139" s="55">
        <f t="shared" si="19"/>
        <v>11500</v>
      </c>
      <c r="J139" s="17">
        <v>16</v>
      </c>
      <c r="K139" s="17">
        <f t="shared" si="20"/>
        <v>0.05</v>
      </c>
      <c r="L139" s="18">
        <f t="shared" si="21"/>
        <v>9200</v>
      </c>
      <c r="M139" s="55">
        <f t="shared" si="22"/>
        <v>460</v>
      </c>
      <c r="N139" s="55">
        <f t="shared" si="23"/>
        <v>480</v>
      </c>
      <c r="O139" s="55">
        <f t="shared" si="24"/>
        <v>8260</v>
      </c>
      <c r="P139" s="55">
        <f t="shared" si="25"/>
        <v>2000</v>
      </c>
      <c r="Q139" s="94">
        <f t="shared" si="26"/>
        <v>6260</v>
      </c>
    </row>
    <row r="140" spans="1:17">
      <c r="A140" s="17">
        <v>1840</v>
      </c>
      <c r="B140" s="17">
        <v>3</v>
      </c>
      <c r="C140" s="17" t="s">
        <v>25</v>
      </c>
      <c r="D140" s="17" t="s">
        <v>47</v>
      </c>
      <c r="E140" s="17">
        <v>1</v>
      </c>
      <c r="F140" s="17" t="s">
        <v>11</v>
      </c>
      <c r="G140" s="17" t="s">
        <v>18</v>
      </c>
      <c r="H140" s="17" t="str">
        <f t="shared" si="18"/>
        <v>Meezor Turbine Counter-Thruster</v>
      </c>
      <c r="I140" s="55">
        <f t="shared" si="19"/>
        <v>21296</v>
      </c>
      <c r="J140" s="17">
        <v>6</v>
      </c>
      <c r="K140" s="17">
        <f t="shared" si="20"/>
        <v>0</v>
      </c>
      <c r="L140" s="18">
        <f t="shared" si="21"/>
        <v>0</v>
      </c>
      <c r="M140" s="55">
        <f t="shared" si="22"/>
        <v>0</v>
      </c>
      <c r="N140" s="55">
        <f t="shared" si="23"/>
        <v>0</v>
      </c>
      <c r="O140" s="55">
        <f t="shared" si="24"/>
        <v>0</v>
      </c>
      <c r="P140" s="55">
        <f t="shared" si="25"/>
        <v>9230.7692307692305</v>
      </c>
      <c r="Q140" s="94">
        <f t="shared" si="26"/>
        <v>-9230.7692307692305</v>
      </c>
    </row>
    <row r="141" spans="1:17">
      <c r="A141" s="17">
        <v>1840</v>
      </c>
      <c r="B141" s="17">
        <v>2</v>
      </c>
      <c r="C141" s="17" t="s">
        <v>24</v>
      </c>
      <c r="D141" s="17" t="s">
        <v>50</v>
      </c>
      <c r="E141" s="17">
        <v>6</v>
      </c>
      <c r="F141" s="17" t="s">
        <v>10</v>
      </c>
      <c r="G141" s="17" t="s">
        <v>15</v>
      </c>
      <c r="H141" s="17" t="str">
        <f t="shared" si="18"/>
        <v>Radial Atomizer</v>
      </c>
      <c r="I141" s="55">
        <f t="shared" si="19"/>
        <v>11500</v>
      </c>
      <c r="J141" s="17">
        <v>5</v>
      </c>
      <c r="K141" s="17">
        <f t="shared" si="20"/>
        <v>1</v>
      </c>
      <c r="L141" s="18">
        <f t="shared" si="21"/>
        <v>57500</v>
      </c>
      <c r="M141" s="55">
        <f t="shared" si="22"/>
        <v>2875</v>
      </c>
      <c r="N141" s="55">
        <f t="shared" si="23"/>
        <v>3000</v>
      </c>
      <c r="O141" s="55">
        <f t="shared" si="24"/>
        <v>51625</v>
      </c>
      <c r="P141" s="55">
        <f t="shared" si="25"/>
        <v>8333.3333333333339</v>
      </c>
      <c r="Q141" s="94">
        <f t="shared" si="26"/>
        <v>43291.666666666664</v>
      </c>
    </row>
    <row r="142" spans="1:17">
      <c r="A142" s="17">
        <v>1843</v>
      </c>
      <c r="B142" s="17">
        <v>2</v>
      </c>
      <c r="C142" s="17" t="s">
        <v>31</v>
      </c>
      <c r="D142" s="17" t="s">
        <v>46</v>
      </c>
      <c r="E142" s="17">
        <v>1</v>
      </c>
      <c r="F142" s="17" t="s">
        <v>11</v>
      </c>
      <c r="G142" s="17" t="s">
        <v>15</v>
      </c>
      <c r="H142" s="17" t="str">
        <f t="shared" si="18"/>
        <v>Radial Atomizer</v>
      </c>
      <c r="I142" s="55">
        <f t="shared" si="19"/>
        <v>11500</v>
      </c>
      <c r="J142" s="17">
        <v>11</v>
      </c>
      <c r="K142" s="17">
        <f t="shared" si="20"/>
        <v>0</v>
      </c>
      <c r="L142" s="18">
        <f t="shared" si="21"/>
        <v>0</v>
      </c>
      <c r="M142" s="55">
        <f t="shared" si="22"/>
        <v>0</v>
      </c>
      <c r="N142" s="55">
        <f t="shared" si="23"/>
        <v>0</v>
      </c>
      <c r="O142" s="55">
        <f t="shared" si="24"/>
        <v>0</v>
      </c>
      <c r="P142" s="55">
        <f t="shared" si="25"/>
        <v>2500</v>
      </c>
      <c r="Q142" s="94">
        <f t="shared" si="26"/>
        <v>-2500</v>
      </c>
    </row>
    <row r="143" spans="1:17">
      <c r="A143" s="17">
        <v>1843</v>
      </c>
      <c r="B143" s="17">
        <v>1</v>
      </c>
      <c r="C143" s="17" t="s">
        <v>31</v>
      </c>
      <c r="D143" s="17" t="s">
        <v>50</v>
      </c>
      <c r="E143" s="17">
        <v>3</v>
      </c>
      <c r="F143" s="17" t="s">
        <v>10</v>
      </c>
      <c r="G143" s="17" t="s">
        <v>17</v>
      </c>
      <c r="H143" s="17" t="str">
        <f t="shared" si="18"/>
        <v>Half-Spar Radium Flange</v>
      </c>
      <c r="I143" s="55">
        <f t="shared" si="19"/>
        <v>1000</v>
      </c>
      <c r="J143" s="17">
        <v>13</v>
      </c>
      <c r="K143" s="17">
        <f t="shared" si="20"/>
        <v>1</v>
      </c>
      <c r="L143" s="18">
        <f t="shared" si="21"/>
        <v>13000</v>
      </c>
      <c r="M143" s="55">
        <f t="shared" si="22"/>
        <v>650</v>
      </c>
      <c r="N143" s="55">
        <f t="shared" si="23"/>
        <v>2600</v>
      </c>
      <c r="O143" s="55">
        <f t="shared" si="24"/>
        <v>9750</v>
      </c>
      <c r="P143" s="55">
        <f t="shared" si="25"/>
        <v>6250</v>
      </c>
      <c r="Q143" s="94">
        <f t="shared" si="26"/>
        <v>3500</v>
      </c>
    </row>
    <row r="144" spans="1:17">
      <c r="A144" s="17">
        <v>1863</v>
      </c>
      <c r="B144" s="17">
        <v>4</v>
      </c>
      <c r="C144" s="17" t="s">
        <v>31</v>
      </c>
      <c r="D144" s="17" t="s">
        <v>46</v>
      </c>
      <c r="E144" s="17">
        <v>1</v>
      </c>
      <c r="F144" s="17" t="s">
        <v>9</v>
      </c>
      <c r="G144" s="17" t="s">
        <v>15</v>
      </c>
      <c r="H144" s="17" t="str">
        <f t="shared" si="18"/>
        <v>Radial Atomizer</v>
      </c>
      <c r="I144" s="55">
        <f t="shared" si="19"/>
        <v>11500</v>
      </c>
      <c r="J144" s="17">
        <v>5</v>
      </c>
      <c r="K144" s="17">
        <f t="shared" si="20"/>
        <v>0.05</v>
      </c>
      <c r="L144" s="18">
        <f t="shared" si="21"/>
        <v>2875</v>
      </c>
      <c r="M144" s="55">
        <f t="shared" si="22"/>
        <v>143.75</v>
      </c>
      <c r="N144" s="55">
        <f t="shared" si="23"/>
        <v>150</v>
      </c>
      <c r="O144" s="55">
        <f t="shared" si="24"/>
        <v>2581.25</v>
      </c>
      <c r="P144" s="55">
        <f t="shared" si="25"/>
        <v>2000</v>
      </c>
      <c r="Q144" s="94">
        <f t="shared" si="26"/>
        <v>581.25</v>
      </c>
    </row>
    <row r="145" spans="1:17">
      <c r="A145" s="17">
        <v>1863</v>
      </c>
      <c r="B145" s="17">
        <v>3</v>
      </c>
      <c r="C145" s="17" t="s">
        <v>25</v>
      </c>
      <c r="D145" s="17" t="s">
        <v>58</v>
      </c>
      <c r="E145" s="17">
        <v>4</v>
      </c>
      <c r="F145" s="17" t="s">
        <v>11</v>
      </c>
      <c r="G145" s="17" t="s">
        <v>16</v>
      </c>
      <c r="H145" s="17" t="str">
        <f t="shared" si="18"/>
        <v>Centurion Mezzle Spark Igniter</v>
      </c>
      <c r="I145" s="55">
        <f t="shared" si="19"/>
        <v>1500</v>
      </c>
      <c r="J145" s="17">
        <v>6</v>
      </c>
      <c r="K145" s="17">
        <f t="shared" si="20"/>
        <v>0</v>
      </c>
      <c r="L145" s="18">
        <f t="shared" si="21"/>
        <v>0</v>
      </c>
      <c r="M145" s="55">
        <f t="shared" si="22"/>
        <v>0</v>
      </c>
      <c r="N145" s="55">
        <f t="shared" si="23"/>
        <v>0</v>
      </c>
      <c r="O145" s="55">
        <f t="shared" si="24"/>
        <v>0</v>
      </c>
      <c r="P145" s="55">
        <f t="shared" si="25"/>
        <v>9230.7692307692305</v>
      </c>
      <c r="Q145" s="94">
        <f t="shared" si="26"/>
        <v>-9230.7692307692305</v>
      </c>
    </row>
    <row r="146" spans="1:17">
      <c r="A146" s="17">
        <v>1863</v>
      </c>
      <c r="B146" s="17">
        <v>1</v>
      </c>
      <c r="C146" s="17" t="s">
        <v>24</v>
      </c>
      <c r="D146" s="17" t="s">
        <v>50</v>
      </c>
      <c r="E146" s="17">
        <v>4</v>
      </c>
      <c r="F146" s="17" t="s">
        <v>10</v>
      </c>
      <c r="G146" s="17" t="s">
        <v>17</v>
      </c>
      <c r="H146" s="17" t="str">
        <f t="shared" si="18"/>
        <v>Half-Spar Radium Flange</v>
      </c>
      <c r="I146" s="55">
        <f t="shared" si="19"/>
        <v>1000</v>
      </c>
      <c r="J146" s="17">
        <v>15</v>
      </c>
      <c r="K146" s="17">
        <f t="shared" si="20"/>
        <v>1</v>
      </c>
      <c r="L146" s="18">
        <f t="shared" si="21"/>
        <v>15000</v>
      </c>
      <c r="M146" s="55">
        <f t="shared" si="22"/>
        <v>750</v>
      </c>
      <c r="N146" s="55">
        <f t="shared" si="23"/>
        <v>3000</v>
      </c>
      <c r="O146" s="55">
        <f t="shared" si="24"/>
        <v>11250</v>
      </c>
      <c r="P146" s="55">
        <f t="shared" si="25"/>
        <v>6250</v>
      </c>
      <c r="Q146" s="94">
        <f t="shared" si="26"/>
        <v>5000</v>
      </c>
    </row>
    <row r="147" spans="1:17">
      <c r="A147" s="17">
        <v>1863</v>
      </c>
      <c r="B147" s="17">
        <v>2</v>
      </c>
      <c r="C147" s="17" t="s">
        <v>26</v>
      </c>
      <c r="D147" s="17" t="s">
        <v>50</v>
      </c>
      <c r="E147" s="17">
        <v>6</v>
      </c>
      <c r="F147" s="17" t="s">
        <v>10</v>
      </c>
      <c r="G147" s="17" t="s">
        <v>15</v>
      </c>
      <c r="H147" s="17" t="str">
        <f t="shared" si="18"/>
        <v>Radial Atomizer</v>
      </c>
      <c r="I147" s="55">
        <f t="shared" si="19"/>
        <v>11500</v>
      </c>
      <c r="J147" s="17">
        <v>6</v>
      </c>
      <c r="K147" s="17">
        <f t="shared" si="20"/>
        <v>1</v>
      </c>
      <c r="L147" s="18">
        <f t="shared" si="21"/>
        <v>69000</v>
      </c>
      <c r="M147" s="55">
        <f t="shared" si="22"/>
        <v>3450</v>
      </c>
      <c r="N147" s="55">
        <f t="shared" si="23"/>
        <v>3600</v>
      </c>
      <c r="O147" s="55">
        <f t="shared" si="24"/>
        <v>61950</v>
      </c>
      <c r="P147" s="55">
        <f t="shared" si="25"/>
        <v>2727.2727272727275</v>
      </c>
      <c r="Q147" s="94">
        <f t="shared" si="26"/>
        <v>59222.727272727272</v>
      </c>
    </row>
    <row r="148" spans="1:17">
      <c r="A148" s="17">
        <v>1873</v>
      </c>
      <c r="B148" s="17">
        <v>2</v>
      </c>
      <c r="C148" s="17" t="s">
        <v>31</v>
      </c>
      <c r="D148" s="17" t="s">
        <v>50</v>
      </c>
      <c r="E148" s="17">
        <v>4</v>
      </c>
      <c r="F148" s="17" t="s">
        <v>10</v>
      </c>
      <c r="G148" s="17" t="s">
        <v>17</v>
      </c>
      <c r="H148" s="17" t="str">
        <f t="shared" si="18"/>
        <v>Half-Spar Radium Flange</v>
      </c>
      <c r="I148" s="55">
        <f t="shared" si="19"/>
        <v>1000</v>
      </c>
      <c r="J148" s="17">
        <v>16</v>
      </c>
      <c r="K148" s="17">
        <f t="shared" si="20"/>
        <v>1</v>
      </c>
      <c r="L148" s="18">
        <f t="shared" si="21"/>
        <v>16000</v>
      </c>
      <c r="M148" s="55">
        <f t="shared" si="22"/>
        <v>800</v>
      </c>
      <c r="N148" s="55">
        <f t="shared" si="23"/>
        <v>3200</v>
      </c>
      <c r="O148" s="55">
        <f t="shared" si="24"/>
        <v>12000</v>
      </c>
      <c r="P148" s="55">
        <f t="shared" si="25"/>
        <v>2500</v>
      </c>
      <c r="Q148" s="94">
        <f t="shared" si="26"/>
        <v>9500</v>
      </c>
    </row>
    <row r="149" spans="1:17">
      <c r="A149" s="17">
        <v>1883</v>
      </c>
      <c r="B149" s="17">
        <v>1</v>
      </c>
      <c r="C149" s="17" t="s">
        <v>26</v>
      </c>
      <c r="D149" s="17" t="s">
        <v>50</v>
      </c>
      <c r="E149" s="17">
        <v>7</v>
      </c>
      <c r="F149" s="17" t="s">
        <v>10</v>
      </c>
      <c r="G149" s="17" t="s">
        <v>18</v>
      </c>
      <c r="H149" s="17" t="str">
        <f t="shared" si="18"/>
        <v>Meezor Turbine Counter-Thruster</v>
      </c>
      <c r="I149" s="55">
        <f t="shared" si="19"/>
        <v>21296</v>
      </c>
      <c r="J149" s="17">
        <v>3</v>
      </c>
      <c r="K149" s="17">
        <f t="shared" si="20"/>
        <v>1</v>
      </c>
      <c r="L149" s="18">
        <f t="shared" si="21"/>
        <v>63888</v>
      </c>
      <c r="M149" s="55">
        <f t="shared" si="22"/>
        <v>6388.8</v>
      </c>
      <c r="N149" s="55">
        <f t="shared" si="23"/>
        <v>36000</v>
      </c>
      <c r="O149" s="55">
        <f t="shared" si="24"/>
        <v>21499.199999999997</v>
      </c>
      <c r="P149" s="55">
        <f t="shared" si="25"/>
        <v>3750</v>
      </c>
      <c r="Q149" s="94">
        <f t="shared" si="26"/>
        <v>17749.199999999997</v>
      </c>
    </row>
    <row r="150" spans="1:17">
      <c r="A150" s="17">
        <v>1886</v>
      </c>
      <c r="B150" s="17">
        <v>3</v>
      </c>
      <c r="C150" s="17" t="s">
        <v>25</v>
      </c>
      <c r="D150" s="17" t="s">
        <v>47</v>
      </c>
      <c r="E150" s="17">
        <v>2</v>
      </c>
      <c r="F150" s="17" t="s">
        <v>11</v>
      </c>
      <c r="G150" s="17" t="s">
        <v>18</v>
      </c>
      <c r="H150" s="17" t="str">
        <f t="shared" si="18"/>
        <v>Meezor Turbine Counter-Thruster</v>
      </c>
      <c r="I150" s="55">
        <f t="shared" si="19"/>
        <v>21296</v>
      </c>
      <c r="J150" s="17">
        <v>4</v>
      </c>
      <c r="K150" s="17">
        <f t="shared" si="20"/>
        <v>0</v>
      </c>
      <c r="L150" s="18">
        <f t="shared" si="21"/>
        <v>0</v>
      </c>
      <c r="M150" s="55">
        <f t="shared" si="22"/>
        <v>0</v>
      </c>
      <c r="N150" s="55">
        <f t="shared" si="23"/>
        <v>0</v>
      </c>
      <c r="O150" s="55">
        <f t="shared" si="24"/>
        <v>0</v>
      </c>
      <c r="P150" s="55">
        <f t="shared" si="25"/>
        <v>9230.7692307692305</v>
      </c>
      <c r="Q150" s="94">
        <f t="shared" si="26"/>
        <v>-9230.7692307692305</v>
      </c>
    </row>
    <row r="151" spans="1:17">
      <c r="A151" s="17">
        <v>1886</v>
      </c>
      <c r="B151" s="17">
        <v>4</v>
      </c>
      <c r="C151" s="17" t="s">
        <v>24</v>
      </c>
      <c r="D151" s="17" t="s">
        <v>47</v>
      </c>
      <c r="E151" s="17">
        <v>1</v>
      </c>
      <c r="F151" s="17" t="s">
        <v>9</v>
      </c>
      <c r="G151" s="17" t="s">
        <v>15</v>
      </c>
      <c r="H151" s="17" t="str">
        <f t="shared" si="18"/>
        <v>Radial Atomizer</v>
      </c>
      <c r="I151" s="55">
        <f t="shared" si="19"/>
        <v>11500</v>
      </c>
      <c r="J151" s="17">
        <v>2</v>
      </c>
      <c r="K151" s="17">
        <f t="shared" si="20"/>
        <v>0.25</v>
      </c>
      <c r="L151" s="18">
        <f t="shared" si="21"/>
        <v>5750</v>
      </c>
      <c r="M151" s="55">
        <f t="shared" si="22"/>
        <v>287.5</v>
      </c>
      <c r="N151" s="55">
        <f t="shared" si="23"/>
        <v>300</v>
      </c>
      <c r="O151" s="55">
        <f t="shared" si="24"/>
        <v>5162.5</v>
      </c>
      <c r="P151" s="55">
        <f t="shared" si="25"/>
        <v>4166.666666666667</v>
      </c>
      <c r="Q151" s="94">
        <f t="shared" si="26"/>
        <v>995.83333333333303</v>
      </c>
    </row>
    <row r="152" spans="1:17">
      <c r="A152" s="17">
        <v>1886</v>
      </c>
      <c r="B152" s="17">
        <v>1</v>
      </c>
      <c r="C152" s="17" t="s">
        <v>26</v>
      </c>
      <c r="D152" s="17" t="s">
        <v>49</v>
      </c>
      <c r="E152" s="17">
        <v>7</v>
      </c>
      <c r="F152" s="17" t="s">
        <v>11</v>
      </c>
      <c r="G152" s="17" t="s">
        <v>16</v>
      </c>
      <c r="H152" s="17" t="str">
        <f t="shared" si="18"/>
        <v>Centurion Mezzle Spark Igniter</v>
      </c>
      <c r="I152" s="55">
        <f t="shared" si="19"/>
        <v>1500</v>
      </c>
      <c r="J152" s="17">
        <v>2</v>
      </c>
      <c r="K152" s="17">
        <f t="shared" si="20"/>
        <v>0</v>
      </c>
      <c r="L152" s="18">
        <f t="shared" si="21"/>
        <v>0</v>
      </c>
      <c r="M152" s="55">
        <f t="shared" si="22"/>
        <v>0</v>
      </c>
      <c r="N152" s="55">
        <f t="shared" si="23"/>
        <v>0</v>
      </c>
      <c r="O152" s="55">
        <f t="shared" si="24"/>
        <v>0</v>
      </c>
      <c r="P152" s="55">
        <f t="shared" si="25"/>
        <v>3750</v>
      </c>
      <c r="Q152" s="94">
        <f t="shared" si="26"/>
        <v>-3750</v>
      </c>
    </row>
    <row r="153" spans="1:17">
      <c r="A153" s="17">
        <v>1886</v>
      </c>
      <c r="B153" s="17">
        <v>2</v>
      </c>
      <c r="C153" s="17" t="s">
        <v>26</v>
      </c>
      <c r="D153" s="17" t="s">
        <v>50</v>
      </c>
      <c r="E153" s="17">
        <v>5</v>
      </c>
      <c r="F153" s="17" t="s">
        <v>10</v>
      </c>
      <c r="G153" s="17" t="s">
        <v>18</v>
      </c>
      <c r="H153" s="17" t="str">
        <f t="shared" si="18"/>
        <v>Meezor Turbine Counter-Thruster</v>
      </c>
      <c r="I153" s="55">
        <f t="shared" si="19"/>
        <v>21296</v>
      </c>
      <c r="J153" s="17">
        <v>3</v>
      </c>
      <c r="K153" s="17">
        <f t="shared" si="20"/>
        <v>1</v>
      </c>
      <c r="L153" s="18">
        <f t="shared" si="21"/>
        <v>63888</v>
      </c>
      <c r="M153" s="55">
        <f t="shared" si="22"/>
        <v>6388.8</v>
      </c>
      <c r="N153" s="55">
        <f t="shared" si="23"/>
        <v>36000</v>
      </c>
      <c r="O153" s="55">
        <f t="shared" si="24"/>
        <v>21499.199999999997</v>
      </c>
      <c r="P153" s="55">
        <f t="shared" si="25"/>
        <v>2727.2727272727275</v>
      </c>
      <c r="Q153" s="94">
        <f t="shared" si="26"/>
        <v>18771.927272727269</v>
      </c>
    </row>
    <row r="154" spans="1:17">
      <c r="A154" s="17">
        <v>1894</v>
      </c>
      <c r="B154" s="17">
        <v>4</v>
      </c>
      <c r="C154" s="17" t="s">
        <v>26</v>
      </c>
      <c r="D154" s="17" t="s">
        <v>49</v>
      </c>
      <c r="E154" s="17">
        <v>5</v>
      </c>
      <c r="F154" s="17" t="s">
        <v>9</v>
      </c>
      <c r="G154" s="17" t="s">
        <v>15</v>
      </c>
      <c r="H154" s="17" t="str">
        <f t="shared" si="18"/>
        <v>Radial Atomizer</v>
      </c>
      <c r="I154" s="55">
        <f t="shared" si="19"/>
        <v>11500</v>
      </c>
      <c r="J154" s="17">
        <v>5</v>
      </c>
      <c r="K154" s="17">
        <f t="shared" si="20"/>
        <v>0.97</v>
      </c>
      <c r="L154" s="18">
        <f t="shared" si="21"/>
        <v>55775</v>
      </c>
      <c r="M154" s="55">
        <f t="shared" si="22"/>
        <v>2788.75</v>
      </c>
      <c r="N154" s="55">
        <f t="shared" si="23"/>
        <v>2910</v>
      </c>
      <c r="O154" s="55">
        <f t="shared" si="24"/>
        <v>50076.25</v>
      </c>
      <c r="P154" s="55">
        <f t="shared" si="25"/>
        <v>4285.7142857142853</v>
      </c>
      <c r="Q154" s="94">
        <f t="shared" si="26"/>
        <v>45790.535714285717</v>
      </c>
    </row>
    <row r="155" spans="1:17">
      <c r="A155" s="17">
        <v>1894</v>
      </c>
      <c r="B155" s="17">
        <v>1</v>
      </c>
      <c r="C155" s="17" t="s">
        <v>26</v>
      </c>
      <c r="D155" s="17" t="s">
        <v>50</v>
      </c>
      <c r="E155" s="17">
        <v>6</v>
      </c>
      <c r="F155" s="17" t="s">
        <v>10</v>
      </c>
      <c r="G155" s="17" t="s">
        <v>18</v>
      </c>
      <c r="H155" s="17" t="str">
        <f t="shared" si="18"/>
        <v>Meezor Turbine Counter-Thruster</v>
      </c>
      <c r="I155" s="55">
        <f t="shared" si="19"/>
        <v>21296</v>
      </c>
      <c r="J155" s="17">
        <v>2</v>
      </c>
      <c r="K155" s="17">
        <f t="shared" si="20"/>
        <v>1</v>
      </c>
      <c r="L155" s="18">
        <f t="shared" si="21"/>
        <v>42592</v>
      </c>
      <c r="M155" s="55">
        <f t="shared" si="22"/>
        <v>4259.2</v>
      </c>
      <c r="N155" s="55">
        <f t="shared" si="23"/>
        <v>24000</v>
      </c>
      <c r="O155" s="55">
        <f t="shared" si="24"/>
        <v>14332.800000000003</v>
      </c>
      <c r="P155" s="55">
        <f t="shared" si="25"/>
        <v>3750</v>
      </c>
      <c r="Q155" s="94">
        <f t="shared" si="26"/>
        <v>10582.800000000003</v>
      </c>
    </row>
    <row r="156" spans="1:17">
      <c r="A156" s="17">
        <v>1894</v>
      </c>
      <c r="B156" s="17">
        <v>2</v>
      </c>
      <c r="C156" s="17" t="s">
        <v>25</v>
      </c>
      <c r="D156" s="17" t="s">
        <v>50</v>
      </c>
      <c r="E156" s="17">
        <v>3</v>
      </c>
      <c r="F156" s="17" t="s">
        <v>10</v>
      </c>
      <c r="G156" s="17" t="s">
        <v>17</v>
      </c>
      <c r="H156" s="17" t="str">
        <f t="shared" si="18"/>
        <v>Half-Spar Radium Flange</v>
      </c>
      <c r="I156" s="55">
        <f t="shared" si="19"/>
        <v>1000</v>
      </c>
      <c r="J156" s="17">
        <v>2</v>
      </c>
      <c r="K156" s="17">
        <f t="shared" si="20"/>
        <v>1</v>
      </c>
      <c r="L156" s="18">
        <f t="shared" si="21"/>
        <v>2000</v>
      </c>
      <c r="M156" s="55">
        <f t="shared" si="22"/>
        <v>100</v>
      </c>
      <c r="N156" s="55">
        <f t="shared" si="23"/>
        <v>400</v>
      </c>
      <c r="O156" s="55">
        <f t="shared" si="24"/>
        <v>1500</v>
      </c>
      <c r="P156" s="55">
        <f t="shared" si="25"/>
        <v>8000</v>
      </c>
      <c r="Q156" s="94">
        <f t="shared" si="26"/>
        <v>-6500</v>
      </c>
    </row>
    <row r="157" spans="1:17">
      <c r="A157" s="17">
        <v>1894</v>
      </c>
      <c r="B157" s="17">
        <v>3</v>
      </c>
      <c r="C157" s="17" t="s">
        <v>26</v>
      </c>
      <c r="D157" s="17" t="s">
        <v>50</v>
      </c>
      <c r="E157" s="17">
        <v>8</v>
      </c>
      <c r="F157" s="17" t="s">
        <v>10</v>
      </c>
      <c r="G157" s="17" t="s">
        <v>18</v>
      </c>
      <c r="H157" s="17" t="str">
        <f t="shared" si="18"/>
        <v>Meezor Turbine Counter-Thruster</v>
      </c>
      <c r="I157" s="55">
        <f t="shared" si="19"/>
        <v>21296</v>
      </c>
      <c r="J157" s="17">
        <v>3</v>
      </c>
      <c r="K157" s="17">
        <f t="shared" si="20"/>
        <v>1</v>
      </c>
      <c r="L157" s="18">
        <f t="shared" si="21"/>
        <v>63888</v>
      </c>
      <c r="M157" s="55">
        <f t="shared" si="22"/>
        <v>6388.8</v>
      </c>
      <c r="N157" s="55">
        <f t="shared" si="23"/>
        <v>36000</v>
      </c>
      <c r="O157" s="55">
        <f t="shared" si="24"/>
        <v>21499.199999999997</v>
      </c>
      <c r="P157" s="55">
        <f t="shared" si="25"/>
        <v>7500</v>
      </c>
      <c r="Q157" s="94">
        <f t="shared" si="26"/>
        <v>13999.199999999997</v>
      </c>
    </row>
    <row r="158" spans="1:17">
      <c r="A158" s="17">
        <v>1894</v>
      </c>
      <c r="B158" s="17">
        <v>3</v>
      </c>
      <c r="C158" s="17" t="s">
        <v>31</v>
      </c>
      <c r="D158" s="17" t="s">
        <v>50</v>
      </c>
      <c r="E158" s="17">
        <v>4</v>
      </c>
      <c r="F158" s="17" t="s">
        <v>10</v>
      </c>
      <c r="G158" s="17" t="s">
        <v>17</v>
      </c>
      <c r="H158" s="17" t="str">
        <f t="shared" si="18"/>
        <v>Half-Spar Radium Flange</v>
      </c>
      <c r="I158" s="55">
        <f t="shared" si="19"/>
        <v>1000</v>
      </c>
      <c r="J158" s="17">
        <v>14</v>
      </c>
      <c r="K158" s="17">
        <f t="shared" si="20"/>
        <v>1</v>
      </c>
      <c r="L158" s="18">
        <f t="shared" si="21"/>
        <v>14000</v>
      </c>
      <c r="M158" s="55">
        <f t="shared" si="22"/>
        <v>700</v>
      </c>
      <c r="N158" s="55">
        <f t="shared" si="23"/>
        <v>2800</v>
      </c>
      <c r="O158" s="55">
        <f t="shared" si="24"/>
        <v>10500</v>
      </c>
      <c r="P158" s="55">
        <f t="shared" si="25"/>
        <v>2000</v>
      </c>
      <c r="Q158" s="94">
        <f t="shared" si="26"/>
        <v>8500</v>
      </c>
    </row>
    <row r="159" spans="1:17">
      <c r="A159" s="17">
        <v>1904</v>
      </c>
      <c r="B159" s="17">
        <v>4</v>
      </c>
      <c r="C159" s="17" t="s">
        <v>24</v>
      </c>
      <c r="D159" s="17" t="s">
        <v>58</v>
      </c>
      <c r="E159" s="17">
        <v>2</v>
      </c>
      <c r="F159" s="17" t="s">
        <v>9</v>
      </c>
      <c r="G159" s="17" t="s">
        <v>15</v>
      </c>
      <c r="H159" s="17" t="str">
        <f t="shared" si="18"/>
        <v>Radial Atomizer</v>
      </c>
      <c r="I159" s="55">
        <f t="shared" si="19"/>
        <v>11500</v>
      </c>
      <c r="J159" s="17">
        <v>3</v>
      </c>
      <c r="K159" s="17">
        <f t="shared" si="20"/>
        <v>0.5</v>
      </c>
      <c r="L159" s="18">
        <f t="shared" si="21"/>
        <v>17250</v>
      </c>
      <c r="M159" s="55">
        <f t="shared" si="22"/>
        <v>862.5</v>
      </c>
      <c r="N159" s="55">
        <f t="shared" si="23"/>
        <v>900</v>
      </c>
      <c r="O159" s="55">
        <f t="shared" si="24"/>
        <v>15487.5</v>
      </c>
      <c r="P159" s="55">
        <f t="shared" si="25"/>
        <v>4166.666666666667</v>
      </c>
      <c r="Q159" s="94">
        <f t="shared" si="26"/>
        <v>11320.833333333332</v>
      </c>
    </row>
    <row r="160" spans="1:17">
      <c r="A160" s="17">
        <v>1904</v>
      </c>
      <c r="B160" s="17">
        <v>3</v>
      </c>
      <c r="C160" s="17" t="s">
        <v>31</v>
      </c>
      <c r="D160" s="17" t="s">
        <v>50</v>
      </c>
      <c r="E160" s="17">
        <v>2</v>
      </c>
      <c r="F160" s="17" t="s">
        <v>10</v>
      </c>
      <c r="G160" s="17" t="s">
        <v>17</v>
      </c>
      <c r="H160" s="17" t="str">
        <f t="shared" si="18"/>
        <v>Half-Spar Radium Flange</v>
      </c>
      <c r="I160" s="55">
        <f t="shared" si="19"/>
        <v>1000</v>
      </c>
      <c r="J160" s="17">
        <v>3</v>
      </c>
      <c r="K160" s="17">
        <f t="shared" si="20"/>
        <v>1</v>
      </c>
      <c r="L160" s="18">
        <f t="shared" si="21"/>
        <v>3000</v>
      </c>
      <c r="M160" s="55">
        <f t="shared" si="22"/>
        <v>150</v>
      </c>
      <c r="N160" s="55">
        <f t="shared" si="23"/>
        <v>600</v>
      </c>
      <c r="O160" s="55">
        <f t="shared" si="24"/>
        <v>2250</v>
      </c>
      <c r="P160" s="55">
        <f t="shared" si="25"/>
        <v>2000</v>
      </c>
      <c r="Q160" s="94">
        <f t="shared" si="26"/>
        <v>250</v>
      </c>
    </row>
    <row r="161" spans="1:17">
      <c r="A161" s="17">
        <v>1923</v>
      </c>
      <c r="B161" s="17">
        <v>3</v>
      </c>
      <c r="C161" s="17" t="s">
        <v>31</v>
      </c>
      <c r="D161" s="17" t="s">
        <v>50</v>
      </c>
      <c r="E161" s="17">
        <v>1</v>
      </c>
      <c r="F161" s="17" t="s">
        <v>10</v>
      </c>
      <c r="G161" s="17" t="s">
        <v>17</v>
      </c>
      <c r="H161" s="17" t="str">
        <f t="shared" si="18"/>
        <v>Half-Spar Radium Flange</v>
      </c>
      <c r="I161" s="55">
        <f t="shared" si="19"/>
        <v>1000</v>
      </c>
      <c r="J161" s="17">
        <v>14</v>
      </c>
      <c r="K161" s="17">
        <f t="shared" si="20"/>
        <v>1</v>
      </c>
      <c r="L161" s="18">
        <f t="shared" si="21"/>
        <v>14000</v>
      </c>
      <c r="M161" s="55">
        <f t="shared" si="22"/>
        <v>700</v>
      </c>
      <c r="N161" s="55">
        <f t="shared" si="23"/>
        <v>2800</v>
      </c>
      <c r="O161" s="55">
        <f t="shared" si="24"/>
        <v>10500</v>
      </c>
      <c r="P161" s="55">
        <f t="shared" si="25"/>
        <v>2000</v>
      </c>
      <c r="Q161" s="94">
        <f t="shared" si="26"/>
        <v>8500</v>
      </c>
    </row>
    <row r="162" spans="1:17">
      <c r="A162" s="17">
        <v>1923</v>
      </c>
      <c r="B162" s="17">
        <v>4</v>
      </c>
      <c r="C162" s="17" t="s">
        <v>31</v>
      </c>
      <c r="D162" s="17" t="s">
        <v>50</v>
      </c>
      <c r="E162" s="17">
        <v>3</v>
      </c>
      <c r="F162" s="17" t="s">
        <v>10</v>
      </c>
      <c r="G162" s="17" t="s">
        <v>16</v>
      </c>
      <c r="H162" s="17" t="str">
        <f t="shared" si="18"/>
        <v>Centurion Mezzle Spark Igniter</v>
      </c>
      <c r="I162" s="55">
        <f t="shared" si="19"/>
        <v>1500</v>
      </c>
      <c r="J162" s="17">
        <v>5</v>
      </c>
      <c r="K162" s="17">
        <f t="shared" si="20"/>
        <v>1</v>
      </c>
      <c r="L162" s="18">
        <f t="shared" si="21"/>
        <v>7500</v>
      </c>
      <c r="M162" s="55">
        <f t="shared" si="22"/>
        <v>1125</v>
      </c>
      <c r="N162" s="55">
        <f t="shared" si="23"/>
        <v>2000</v>
      </c>
      <c r="O162" s="55">
        <f t="shared" si="24"/>
        <v>4375</v>
      </c>
      <c r="P162" s="55">
        <f t="shared" si="25"/>
        <v>2000</v>
      </c>
      <c r="Q162" s="94">
        <f t="shared" si="26"/>
        <v>2375</v>
      </c>
    </row>
    <row r="163" spans="1:17">
      <c r="A163" s="17">
        <v>1931</v>
      </c>
      <c r="B163" s="17">
        <v>1</v>
      </c>
      <c r="C163" s="17" t="s">
        <v>24</v>
      </c>
      <c r="D163" s="17" t="s">
        <v>50</v>
      </c>
      <c r="E163" s="17">
        <v>4</v>
      </c>
      <c r="F163" s="17" t="s">
        <v>10</v>
      </c>
      <c r="G163" s="17" t="s">
        <v>17</v>
      </c>
      <c r="H163" s="17" t="str">
        <f t="shared" si="18"/>
        <v>Half-Spar Radium Flange</v>
      </c>
      <c r="I163" s="55">
        <f t="shared" si="19"/>
        <v>1000</v>
      </c>
      <c r="J163" s="17">
        <v>15</v>
      </c>
      <c r="K163" s="17">
        <f t="shared" si="20"/>
        <v>1</v>
      </c>
      <c r="L163" s="18">
        <f t="shared" si="21"/>
        <v>15000</v>
      </c>
      <c r="M163" s="55">
        <f t="shared" si="22"/>
        <v>750</v>
      </c>
      <c r="N163" s="55">
        <f t="shared" si="23"/>
        <v>3000</v>
      </c>
      <c r="O163" s="55">
        <f t="shared" si="24"/>
        <v>11250</v>
      </c>
      <c r="P163" s="55">
        <f t="shared" si="25"/>
        <v>6250</v>
      </c>
      <c r="Q163" s="94">
        <f t="shared" si="26"/>
        <v>5000</v>
      </c>
    </row>
    <row r="164" spans="1:17">
      <c r="A164" s="17">
        <v>1941</v>
      </c>
      <c r="B164" s="17">
        <v>1</v>
      </c>
      <c r="C164" s="17" t="s">
        <v>26</v>
      </c>
      <c r="D164" s="17" t="s">
        <v>49</v>
      </c>
      <c r="E164" s="17">
        <v>6</v>
      </c>
      <c r="F164" s="17" t="s">
        <v>11</v>
      </c>
      <c r="G164" s="17" t="s">
        <v>16</v>
      </c>
      <c r="H164" s="17" t="str">
        <f t="shared" si="18"/>
        <v>Centurion Mezzle Spark Igniter</v>
      </c>
      <c r="I164" s="55">
        <f t="shared" si="19"/>
        <v>1500</v>
      </c>
      <c r="J164" s="17">
        <v>2</v>
      </c>
      <c r="K164" s="17">
        <f t="shared" si="20"/>
        <v>0</v>
      </c>
      <c r="L164" s="18">
        <f t="shared" si="21"/>
        <v>0</v>
      </c>
      <c r="M164" s="55">
        <f t="shared" si="22"/>
        <v>0</v>
      </c>
      <c r="N164" s="55">
        <f t="shared" si="23"/>
        <v>0</v>
      </c>
      <c r="O164" s="55">
        <f t="shared" si="24"/>
        <v>0</v>
      </c>
      <c r="P164" s="55">
        <f t="shared" si="25"/>
        <v>3750</v>
      </c>
      <c r="Q164" s="94">
        <f t="shared" si="26"/>
        <v>-3750</v>
      </c>
    </row>
    <row r="165" spans="1:17">
      <c r="A165" s="17">
        <v>1947</v>
      </c>
      <c r="B165" s="17">
        <v>1</v>
      </c>
      <c r="C165" s="17" t="s">
        <v>31</v>
      </c>
      <c r="D165" s="17" t="s">
        <v>46</v>
      </c>
      <c r="E165" s="17">
        <v>1</v>
      </c>
      <c r="F165" s="17" t="s">
        <v>11</v>
      </c>
      <c r="G165" s="17" t="s">
        <v>16</v>
      </c>
      <c r="H165" s="17" t="str">
        <f t="shared" si="18"/>
        <v>Centurion Mezzle Spark Igniter</v>
      </c>
      <c r="I165" s="55">
        <f t="shared" si="19"/>
        <v>1500</v>
      </c>
      <c r="J165" s="17">
        <v>3</v>
      </c>
      <c r="K165" s="17">
        <f t="shared" si="20"/>
        <v>0</v>
      </c>
      <c r="L165" s="18">
        <f t="shared" si="21"/>
        <v>0</v>
      </c>
      <c r="M165" s="55">
        <f t="shared" si="22"/>
        <v>0</v>
      </c>
      <c r="N165" s="55">
        <f t="shared" si="23"/>
        <v>0</v>
      </c>
      <c r="O165" s="55">
        <f t="shared" si="24"/>
        <v>0</v>
      </c>
      <c r="P165" s="55">
        <f t="shared" si="25"/>
        <v>6250</v>
      </c>
      <c r="Q165" s="94">
        <f t="shared" si="26"/>
        <v>-6250</v>
      </c>
    </row>
    <row r="166" spans="1:17">
      <c r="A166" s="17">
        <v>1956</v>
      </c>
      <c r="B166" s="17">
        <v>2</v>
      </c>
      <c r="C166" s="17" t="s">
        <v>31</v>
      </c>
      <c r="D166" s="17" t="s">
        <v>46</v>
      </c>
      <c r="E166" s="17">
        <v>1</v>
      </c>
      <c r="F166" s="17" t="s">
        <v>11</v>
      </c>
      <c r="G166" s="17" t="s">
        <v>16</v>
      </c>
      <c r="H166" s="17" t="str">
        <f t="shared" si="18"/>
        <v>Centurion Mezzle Spark Igniter</v>
      </c>
      <c r="I166" s="55">
        <f t="shared" si="19"/>
        <v>1500</v>
      </c>
      <c r="J166" s="17">
        <v>4</v>
      </c>
      <c r="K166" s="17">
        <f t="shared" si="20"/>
        <v>0</v>
      </c>
      <c r="L166" s="18">
        <f t="shared" si="21"/>
        <v>0</v>
      </c>
      <c r="M166" s="55">
        <f t="shared" si="22"/>
        <v>0</v>
      </c>
      <c r="N166" s="55">
        <f t="shared" si="23"/>
        <v>0</v>
      </c>
      <c r="O166" s="55">
        <f t="shared" si="24"/>
        <v>0</v>
      </c>
      <c r="P166" s="55">
        <f t="shared" si="25"/>
        <v>2500</v>
      </c>
      <c r="Q166" s="94">
        <f t="shared" si="26"/>
        <v>-2500</v>
      </c>
    </row>
    <row r="167" spans="1:17">
      <c r="A167" s="17">
        <v>1959</v>
      </c>
      <c r="B167" s="17">
        <v>2</v>
      </c>
      <c r="C167" s="17" t="s">
        <v>31</v>
      </c>
      <c r="D167" s="17" t="s">
        <v>58</v>
      </c>
      <c r="E167" s="17">
        <v>1</v>
      </c>
      <c r="F167" s="17" t="s">
        <v>11</v>
      </c>
      <c r="G167" s="17" t="s">
        <v>16</v>
      </c>
      <c r="H167" s="17" t="str">
        <f t="shared" si="18"/>
        <v>Centurion Mezzle Spark Igniter</v>
      </c>
      <c r="I167" s="55">
        <f t="shared" si="19"/>
        <v>1500</v>
      </c>
      <c r="J167" s="17">
        <v>6</v>
      </c>
      <c r="K167" s="17">
        <f t="shared" si="20"/>
        <v>0</v>
      </c>
      <c r="L167" s="18">
        <f t="shared" si="21"/>
        <v>0</v>
      </c>
      <c r="M167" s="55">
        <f t="shared" si="22"/>
        <v>0</v>
      </c>
      <c r="N167" s="55">
        <f t="shared" si="23"/>
        <v>0</v>
      </c>
      <c r="O167" s="55">
        <f t="shared" si="24"/>
        <v>0</v>
      </c>
      <c r="P167" s="55">
        <f t="shared" si="25"/>
        <v>2500</v>
      </c>
      <c r="Q167" s="94">
        <f t="shared" si="26"/>
        <v>-2500</v>
      </c>
    </row>
    <row r="168" spans="1:17">
      <c r="A168" s="17">
        <v>1961</v>
      </c>
      <c r="B168" s="17">
        <v>3</v>
      </c>
      <c r="C168" s="17" t="s">
        <v>31</v>
      </c>
      <c r="D168" s="17" t="s">
        <v>46</v>
      </c>
      <c r="E168" s="17">
        <v>2</v>
      </c>
      <c r="F168" s="17" t="s">
        <v>11</v>
      </c>
      <c r="G168" s="17" t="s">
        <v>15</v>
      </c>
      <c r="H168" s="17" t="str">
        <f t="shared" si="18"/>
        <v>Radial Atomizer</v>
      </c>
      <c r="I168" s="55">
        <f t="shared" si="19"/>
        <v>11500</v>
      </c>
      <c r="J168" s="17">
        <v>10</v>
      </c>
      <c r="K168" s="17">
        <f t="shared" si="20"/>
        <v>0</v>
      </c>
      <c r="L168" s="18">
        <f t="shared" si="21"/>
        <v>0</v>
      </c>
      <c r="M168" s="55">
        <f t="shared" si="22"/>
        <v>0</v>
      </c>
      <c r="N168" s="55">
        <f t="shared" si="23"/>
        <v>0</v>
      </c>
      <c r="O168" s="55">
        <f t="shared" si="24"/>
        <v>0</v>
      </c>
      <c r="P168" s="55">
        <f t="shared" si="25"/>
        <v>2000</v>
      </c>
      <c r="Q168" s="94">
        <f t="shared" si="26"/>
        <v>-2000</v>
      </c>
    </row>
    <row r="169" spans="1:17">
      <c r="A169" s="17">
        <v>1961</v>
      </c>
      <c r="B169" s="17">
        <v>4</v>
      </c>
      <c r="C169" s="17" t="s">
        <v>24</v>
      </c>
      <c r="D169" s="17" t="s">
        <v>48</v>
      </c>
      <c r="E169" s="17">
        <v>3</v>
      </c>
      <c r="F169" s="17" t="s">
        <v>9</v>
      </c>
      <c r="G169" s="17" t="s">
        <v>17</v>
      </c>
      <c r="H169" s="17" t="str">
        <f t="shared" si="18"/>
        <v>Half-Spar Radium Flange</v>
      </c>
      <c r="I169" s="55">
        <f t="shared" si="19"/>
        <v>1000</v>
      </c>
      <c r="J169" s="17">
        <v>7</v>
      </c>
      <c r="K169" s="17">
        <f t="shared" si="20"/>
        <v>0.85</v>
      </c>
      <c r="L169" s="18">
        <f t="shared" si="21"/>
        <v>5950</v>
      </c>
      <c r="M169" s="55">
        <f t="shared" si="22"/>
        <v>297.5</v>
      </c>
      <c r="N169" s="55">
        <f t="shared" si="23"/>
        <v>1190</v>
      </c>
      <c r="O169" s="55">
        <f t="shared" si="24"/>
        <v>4462.5</v>
      </c>
      <c r="P169" s="55">
        <f t="shared" si="25"/>
        <v>4166.666666666667</v>
      </c>
      <c r="Q169" s="94">
        <f t="shared" si="26"/>
        <v>295.83333333333303</v>
      </c>
    </row>
    <row r="170" spans="1:17">
      <c r="A170" s="17">
        <v>1962</v>
      </c>
      <c r="B170" s="17">
        <v>4</v>
      </c>
      <c r="C170" s="17" t="s">
        <v>31</v>
      </c>
      <c r="D170" s="17" t="s">
        <v>58</v>
      </c>
      <c r="E170" s="17">
        <v>2</v>
      </c>
      <c r="F170" s="17" t="s">
        <v>9</v>
      </c>
      <c r="G170" s="17" t="s">
        <v>15</v>
      </c>
      <c r="H170" s="17" t="str">
        <f t="shared" si="18"/>
        <v>Radial Atomizer</v>
      </c>
      <c r="I170" s="55">
        <f t="shared" si="19"/>
        <v>11500</v>
      </c>
      <c r="J170" s="17">
        <v>3</v>
      </c>
      <c r="K170" s="17">
        <f t="shared" si="20"/>
        <v>0.5</v>
      </c>
      <c r="L170" s="18">
        <f t="shared" si="21"/>
        <v>17250</v>
      </c>
      <c r="M170" s="55">
        <f t="shared" si="22"/>
        <v>862.5</v>
      </c>
      <c r="N170" s="55">
        <f t="shared" si="23"/>
        <v>900</v>
      </c>
      <c r="O170" s="55">
        <f t="shared" si="24"/>
        <v>15487.5</v>
      </c>
      <c r="P170" s="55">
        <f t="shared" si="25"/>
        <v>2000</v>
      </c>
      <c r="Q170" s="94">
        <f t="shared" si="26"/>
        <v>13487.5</v>
      </c>
    </row>
    <row r="171" spans="1:17">
      <c r="A171" s="17">
        <v>1984</v>
      </c>
      <c r="B171" s="17">
        <v>4</v>
      </c>
      <c r="C171" s="17" t="s">
        <v>24</v>
      </c>
      <c r="D171" s="17" t="s">
        <v>46</v>
      </c>
      <c r="E171" s="17">
        <v>1</v>
      </c>
      <c r="F171" s="17" t="s">
        <v>9</v>
      </c>
      <c r="G171" s="17" t="s">
        <v>18</v>
      </c>
      <c r="H171" s="17" t="str">
        <f t="shared" si="18"/>
        <v>Meezor Turbine Counter-Thruster</v>
      </c>
      <c r="I171" s="55">
        <f t="shared" si="19"/>
        <v>21296</v>
      </c>
      <c r="J171" s="17">
        <v>3</v>
      </c>
      <c r="K171" s="17">
        <f t="shared" si="20"/>
        <v>0.05</v>
      </c>
      <c r="L171" s="18">
        <f t="shared" si="21"/>
        <v>3194.4</v>
      </c>
      <c r="M171" s="55">
        <f t="shared" si="22"/>
        <v>319.44000000000005</v>
      </c>
      <c r="N171" s="55">
        <f t="shared" si="23"/>
        <v>1800</v>
      </c>
      <c r="O171" s="55">
        <f t="shared" si="24"/>
        <v>1074.96</v>
      </c>
      <c r="P171" s="55">
        <f t="shared" si="25"/>
        <v>4166.666666666667</v>
      </c>
      <c r="Q171" s="94">
        <f t="shared" si="26"/>
        <v>-3091.7066666666669</v>
      </c>
    </row>
    <row r="172" spans="1:17">
      <c r="A172" s="17">
        <v>2005</v>
      </c>
      <c r="B172" s="17">
        <v>4</v>
      </c>
      <c r="C172" s="17" t="s">
        <v>24</v>
      </c>
      <c r="D172" s="17" t="s">
        <v>46</v>
      </c>
      <c r="E172" s="17">
        <v>1</v>
      </c>
      <c r="F172" s="17" t="s">
        <v>9</v>
      </c>
      <c r="G172" s="17" t="s">
        <v>15</v>
      </c>
      <c r="H172" s="17" t="str">
        <f t="shared" si="18"/>
        <v>Radial Atomizer</v>
      </c>
      <c r="I172" s="55">
        <f t="shared" si="19"/>
        <v>11500</v>
      </c>
      <c r="J172" s="17">
        <v>16</v>
      </c>
      <c r="K172" s="17">
        <f t="shared" si="20"/>
        <v>0.05</v>
      </c>
      <c r="L172" s="18">
        <f t="shared" si="21"/>
        <v>9200</v>
      </c>
      <c r="M172" s="55">
        <f t="shared" si="22"/>
        <v>460</v>
      </c>
      <c r="N172" s="55">
        <f t="shared" si="23"/>
        <v>480</v>
      </c>
      <c r="O172" s="55">
        <f t="shared" si="24"/>
        <v>8260</v>
      </c>
      <c r="P172" s="55">
        <f t="shared" si="25"/>
        <v>4166.666666666667</v>
      </c>
      <c r="Q172" s="94">
        <f t="shared" si="26"/>
        <v>4093.333333333333</v>
      </c>
    </row>
    <row r="173" spans="1:17">
      <c r="A173" s="17">
        <v>2025</v>
      </c>
      <c r="B173" s="17">
        <v>4</v>
      </c>
      <c r="C173" s="17" t="s">
        <v>26</v>
      </c>
      <c r="D173" s="17" t="s">
        <v>49</v>
      </c>
      <c r="E173" s="17">
        <v>6</v>
      </c>
      <c r="F173" s="17" t="s">
        <v>9</v>
      </c>
      <c r="G173" s="17" t="s">
        <v>18</v>
      </c>
      <c r="H173" s="17" t="str">
        <f t="shared" si="18"/>
        <v>Meezor Turbine Counter-Thruster</v>
      </c>
      <c r="I173" s="55">
        <f t="shared" si="19"/>
        <v>21296</v>
      </c>
      <c r="J173" s="17">
        <v>2</v>
      </c>
      <c r="K173" s="17">
        <f t="shared" si="20"/>
        <v>0.97</v>
      </c>
      <c r="L173" s="18">
        <f t="shared" si="21"/>
        <v>41314.239999999998</v>
      </c>
      <c r="M173" s="55">
        <f t="shared" si="22"/>
        <v>4131.424</v>
      </c>
      <c r="N173" s="55">
        <f t="shared" si="23"/>
        <v>23280</v>
      </c>
      <c r="O173" s="55">
        <f t="shared" si="24"/>
        <v>13902.815999999999</v>
      </c>
      <c r="P173" s="55">
        <f t="shared" si="25"/>
        <v>4285.7142857142853</v>
      </c>
      <c r="Q173" s="94">
        <f t="shared" si="26"/>
        <v>9617.1017142857127</v>
      </c>
    </row>
    <row r="174" spans="1:17">
      <c r="A174" s="17">
        <v>2025</v>
      </c>
      <c r="B174" s="17">
        <v>2</v>
      </c>
      <c r="C174" s="17" t="s">
        <v>26</v>
      </c>
      <c r="D174" s="17" t="s">
        <v>50</v>
      </c>
      <c r="E174" s="17">
        <v>6</v>
      </c>
      <c r="F174" s="17" t="s">
        <v>10</v>
      </c>
      <c r="G174" s="17" t="s">
        <v>16</v>
      </c>
      <c r="H174" s="17" t="str">
        <f t="shared" si="18"/>
        <v>Centurion Mezzle Spark Igniter</v>
      </c>
      <c r="I174" s="55">
        <f t="shared" si="19"/>
        <v>1500</v>
      </c>
      <c r="J174" s="17">
        <v>6</v>
      </c>
      <c r="K174" s="17">
        <f t="shared" si="20"/>
        <v>1</v>
      </c>
      <c r="L174" s="18">
        <f t="shared" si="21"/>
        <v>9000</v>
      </c>
      <c r="M174" s="55">
        <f t="shared" si="22"/>
        <v>1350</v>
      </c>
      <c r="N174" s="55">
        <f t="shared" si="23"/>
        <v>2400</v>
      </c>
      <c r="O174" s="55">
        <f t="shared" si="24"/>
        <v>5250</v>
      </c>
      <c r="P174" s="55">
        <f t="shared" si="25"/>
        <v>2727.2727272727275</v>
      </c>
      <c r="Q174" s="94">
        <f t="shared" si="26"/>
        <v>2522.7272727272725</v>
      </c>
    </row>
    <row r="175" spans="1:17">
      <c r="A175" s="17">
        <v>2025</v>
      </c>
      <c r="B175" s="17">
        <v>3</v>
      </c>
      <c r="C175" s="17" t="s">
        <v>25</v>
      </c>
      <c r="D175" s="17" t="s">
        <v>50</v>
      </c>
      <c r="E175" s="17">
        <v>2</v>
      </c>
      <c r="F175" s="17" t="s">
        <v>10</v>
      </c>
      <c r="G175" s="17" t="s">
        <v>16</v>
      </c>
      <c r="H175" s="17" t="str">
        <f t="shared" si="18"/>
        <v>Centurion Mezzle Spark Igniter</v>
      </c>
      <c r="I175" s="55">
        <f t="shared" si="19"/>
        <v>1500</v>
      </c>
      <c r="J175" s="17">
        <v>8</v>
      </c>
      <c r="K175" s="17">
        <f t="shared" si="20"/>
        <v>1</v>
      </c>
      <c r="L175" s="18">
        <f t="shared" si="21"/>
        <v>12000</v>
      </c>
      <c r="M175" s="55">
        <f t="shared" si="22"/>
        <v>1800</v>
      </c>
      <c r="N175" s="55">
        <f t="shared" si="23"/>
        <v>3200</v>
      </c>
      <c r="O175" s="55">
        <f t="shared" si="24"/>
        <v>7000</v>
      </c>
      <c r="P175" s="55">
        <f t="shared" si="25"/>
        <v>9230.7692307692305</v>
      </c>
      <c r="Q175" s="94">
        <f t="shared" si="26"/>
        <v>-2230.7692307692305</v>
      </c>
    </row>
    <row r="176" spans="1:17">
      <c r="A176" s="17">
        <v>2033</v>
      </c>
      <c r="B176" s="17">
        <v>1</v>
      </c>
      <c r="C176" s="17" t="s">
        <v>31</v>
      </c>
      <c r="D176" s="17" t="s">
        <v>47</v>
      </c>
      <c r="E176" s="17">
        <v>1</v>
      </c>
      <c r="F176" s="17" t="s">
        <v>11</v>
      </c>
      <c r="G176" s="17" t="s">
        <v>17</v>
      </c>
      <c r="H176" s="17" t="str">
        <f t="shared" si="18"/>
        <v>Half-Spar Radium Flange</v>
      </c>
      <c r="I176" s="55">
        <f t="shared" si="19"/>
        <v>1000</v>
      </c>
      <c r="J176" s="17">
        <v>12</v>
      </c>
      <c r="K176" s="17">
        <f t="shared" si="20"/>
        <v>0</v>
      </c>
      <c r="L176" s="18">
        <f t="shared" si="21"/>
        <v>0</v>
      </c>
      <c r="M176" s="55">
        <f t="shared" si="22"/>
        <v>0</v>
      </c>
      <c r="N176" s="55">
        <f t="shared" si="23"/>
        <v>0</v>
      </c>
      <c r="O176" s="55">
        <f t="shared" si="24"/>
        <v>0</v>
      </c>
      <c r="P176" s="55">
        <f t="shared" si="25"/>
        <v>6250</v>
      </c>
      <c r="Q176" s="94">
        <f t="shared" si="26"/>
        <v>-6250</v>
      </c>
    </row>
    <row r="177" spans="1:17">
      <c r="A177" s="17">
        <v>2033</v>
      </c>
      <c r="B177" s="17">
        <v>2</v>
      </c>
      <c r="C177" s="17" t="s">
        <v>26</v>
      </c>
      <c r="D177" s="17" t="s">
        <v>50</v>
      </c>
      <c r="E177" s="17">
        <v>5</v>
      </c>
      <c r="F177" s="17" t="s">
        <v>10</v>
      </c>
      <c r="G177" s="17" t="s">
        <v>15</v>
      </c>
      <c r="H177" s="17" t="str">
        <f t="shared" si="18"/>
        <v>Radial Atomizer</v>
      </c>
      <c r="I177" s="55">
        <f t="shared" si="19"/>
        <v>11500</v>
      </c>
      <c r="J177" s="17">
        <v>6</v>
      </c>
      <c r="K177" s="17">
        <f t="shared" si="20"/>
        <v>1</v>
      </c>
      <c r="L177" s="18">
        <f t="shared" si="21"/>
        <v>69000</v>
      </c>
      <c r="M177" s="55">
        <f t="shared" si="22"/>
        <v>3450</v>
      </c>
      <c r="N177" s="55">
        <f t="shared" si="23"/>
        <v>3600</v>
      </c>
      <c r="O177" s="55">
        <f t="shared" si="24"/>
        <v>61950</v>
      </c>
      <c r="P177" s="55">
        <f t="shared" si="25"/>
        <v>2727.2727272727275</v>
      </c>
      <c r="Q177" s="94">
        <f t="shared" si="26"/>
        <v>59222.727272727272</v>
      </c>
    </row>
    <row r="178" spans="1:17">
      <c r="A178" s="17">
        <v>2033</v>
      </c>
      <c r="B178" s="17">
        <v>3</v>
      </c>
      <c r="C178" s="17" t="s">
        <v>25</v>
      </c>
      <c r="D178" s="17" t="s">
        <v>50</v>
      </c>
      <c r="E178" s="17">
        <v>2</v>
      </c>
      <c r="F178" s="17" t="s">
        <v>10</v>
      </c>
      <c r="G178" s="17" t="s">
        <v>17</v>
      </c>
      <c r="H178" s="17" t="str">
        <f t="shared" si="18"/>
        <v>Half-Spar Radium Flange</v>
      </c>
      <c r="I178" s="55">
        <f t="shared" si="19"/>
        <v>1000</v>
      </c>
      <c r="J178" s="17">
        <v>6</v>
      </c>
      <c r="K178" s="17">
        <f t="shared" si="20"/>
        <v>1</v>
      </c>
      <c r="L178" s="18">
        <f t="shared" si="21"/>
        <v>6000</v>
      </c>
      <c r="M178" s="55">
        <f t="shared" si="22"/>
        <v>300</v>
      </c>
      <c r="N178" s="55">
        <f t="shared" si="23"/>
        <v>1200</v>
      </c>
      <c r="O178" s="55">
        <f t="shared" si="24"/>
        <v>4500</v>
      </c>
      <c r="P178" s="55">
        <f t="shared" si="25"/>
        <v>9230.7692307692305</v>
      </c>
      <c r="Q178" s="94">
        <f t="shared" si="26"/>
        <v>-4730.7692307692305</v>
      </c>
    </row>
    <row r="179" spans="1:17">
      <c r="A179" s="17">
        <v>2036</v>
      </c>
      <c r="B179" s="17">
        <v>4</v>
      </c>
      <c r="C179" s="17" t="s">
        <v>31</v>
      </c>
      <c r="D179" s="17" t="s">
        <v>46</v>
      </c>
      <c r="E179" s="17">
        <v>1</v>
      </c>
      <c r="F179" s="17" t="s">
        <v>9</v>
      </c>
      <c r="G179" s="17" t="s">
        <v>16</v>
      </c>
      <c r="H179" s="17" t="str">
        <f t="shared" si="18"/>
        <v>Centurion Mezzle Spark Igniter</v>
      </c>
      <c r="I179" s="55">
        <f t="shared" si="19"/>
        <v>1500</v>
      </c>
      <c r="J179" s="17">
        <v>4</v>
      </c>
      <c r="K179" s="17">
        <f t="shared" si="20"/>
        <v>0.05</v>
      </c>
      <c r="L179" s="18">
        <f t="shared" si="21"/>
        <v>300</v>
      </c>
      <c r="M179" s="55">
        <f t="shared" si="22"/>
        <v>45</v>
      </c>
      <c r="N179" s="55">
        <f t="shared" si="23"/>
        <v>80</v>
      </c>
      <c r="O179" s="55">
        <f t="shared" si="24"/>
        <v>175</v>
      </c>
      <c r="P179" s="55">
        <f t="shared" si="25"/>
        <v>2000</v>
      </c>
      <c r="Q179" s="94">
        <f t="shared" si="26"/>
        <v>-1825</v>
      </c>
    </row>
    <row r="180" spans="1:17">
      <c r="A180" s="17">
        <v>2036</v>
      </c>
      <c r="B180" s="17">
        <v>2</v>
      </c>
      <c r="C180" s="17" t="s">
        <v>26</v>
      </c>
      <c r="D180" s="17" t="s">
        <v>50</v>
      </c>
      <c r="E180" s="17">
        <v>5</v>
      </c>
      <c r="F180" s="17" t="s">
        <v>10</v>
      </c>
      <c r="G180" s="17" t="s">
        <v>15</v>
      </c>
      <c r="H180" s="17" t="str">
        <f t="shared" si="18"/>
        <v>Radial Atomizer</v>
      </c>
      <c r="I180" s="55">
        <f t="shared" si="19"/>
        <v>11500</v>
      </c>
      <c r="J180" s="17">
        <v>6</v>
      </c>
      <c r="K180" s="17">
        <f t="shared" si="20"/>
        <v>1</v>
      </c>
      <c r="L180" s="18">
        <f t="shared" si="21"/>
        <v>69000</v>
      </c>
      <c r="M180" s="55">
        <f t="shared" si="22"/>
        <v>3450</v>
      </c>
      <c r="N180" s="55">
        <f t="shared" si="23"/>
        <v>3600</v>
      </c>
      <c r="O180" s="55">
        <f t="shared" si="24"/>
        <v>61950</v>
      </c>
      <c r="P180" s="55">
        <f t="shared" si="25"/>
        <v>2727.2727272727275</v>
      </c>
      <c r="Q180" s="94">
        <f t="shared" si="26"/>
        <v>59222.727272727272</v>
      </c>
    </row>
    <row r="181" spans="1:17">
      <c r="A181" s="17">
        <v>2036</v>
      </c>
      <c r="B181" s="17">
        <v>3</v>
      </c>
      <c r="C181" s="17" t="s">
        <v>26</v>
      </c>
      <c r="D181" s="17" t="s">
        <v>50</v>
      </c>
      <c r="E181" s="17">
        <v>5</v>
      </c>
      <c r="F181" s="17" t="s">
        <v>10</v>
      </c>
      <c r="G181" s="17" t="s">
        <v>16</v>
      </c>
      <c r="H181" s="17" t="str">
        <f t="shared" si="18"/>
        <v>Centurion Mezzle Spark Igniter</v>
      </c>
      <c r="I181" s="55">
        <f t="shared" si="19"/>
        <v>1500</v>
      </c>
      <c r="J181" s="17">
        <v>2</v>
      </c>
      <c r="K181" s="17">
        <f t="shared" si="20"/>
        <v>1</v>
      </c>
      <c r="L181" s="18">
        <f t="shared" si="21"/>
        <v>3000</v>
      </c>
      <c r="M181" s="55">
        <f t="shared" si="22"/>
        <v>450</v>
      </c>
      <c r="N181" s="55">
        <f t="shared" si="23"/>
        <v>800</v>
      </c>
      <c r="O181" s="55">
        <f t="shared" si="24"/>
        <v>1750</v>
      </c>
      <c r="P181" s="55">
        <f t="shared" si="25"/>
        <v>7500</v>
      </c>
      <c r="Q181" s="94">
        <f t="shared" si="26"/>
        <v>-5750</v>
      </c>
    </row>
    <row r="182" spans="1:17">
      <c r="A182" s="17">
        <v>2039</v>
      </c>
      <c r="B182" s="17">
        <v>4</v>
      </c>
      <c r="C182" s="17" t="s">
        <v>24</v>
      </c>
      <c r="D182" s="17" t="s">
        <v>47</v>
      </c>
      <c r="E182" s="17">
        <v>1</v>
      </c>
      <c r="F182" s="17" t="s">
        <v>9</v>
      </c>
      <c r="G182" s="17" t="s">
        <v>18</v>
      </c>
      <c r="H182" s="17" t="str">
        <f t="shared" si="18"/>
        <v>Meezor Turbine Counter-Thruster</v>
      </c>
      <c r="I182" s="55">
        <f t="shared" si="19"/>
        <v>21296</v>
      </c>
      <c r="J182" s="17">
        <v>2</v>
      </c>
      <c r="K182" s="17">
        <f t="shared" si="20"/>
        <v>0.25</v>
      </c>
      <c r="L182" s="18">
        <f t="shared" si="21"/>
        <v>10648</v>
      </c>
      <c r="M182" s="55">
        <f t="shared" si="22"/>
        <v>1064.8</v>
      </c>
      <c r="N182" s="55">
        <f t="shared" si="23"/>
        <v>6000</v>
      </c>
      <c r="O182" s="55">
        <f t="shared" si="24"/>
        <v>3583.2000000000007</v>
      </c>
      <c r="P182" s="55">
        <f t="shared" si="25"/>
        <v>4166.666666666667</v>
      </c>
      <c r="Q182" s="94">
        <f t="shared" si="26"/>
        <v>-583.46666666666624</v>
      </c>
    </row>
    <row r="183" spans="1:17">
      <c r="A183" s="17">
        <v>2054</v>
      </c>
      <c r="B183" s="17">
        <v>4</v>
      </c>
      <c r="C183" s="17" t="s">
        <v>31</v>
      </c>
      <c r="D183" s="17" t="s">
        <v>46</v>
      </c>
      <c r="E183" s="17">
        <v>1</v>
      </c>
      <c r="F183" s="17" t="s">
        <v>9</v>
      </c>
      <c r="G183" s="17" t="s">
        <v>16</v>
      </c>
      <c r="H183" s="17" t="str">
        <f t="shared" si="18"/>
        <v>Centurion Mezzle Spark Igniter</v>
      </c>
      <c r="I183" s="55">
        <f t="shared" si="19"/>
        <v>1500</v>
      </c>
      <c r="J183" s="17">
        <v>7</v>
      </c>
      <c r="K183" s="17">
        <f t="shared" si="20"/>
        <v>0.05</v>
      </c>
      <c r="L183" s="18">
        <f t="shared" si="21"/>
        <v>525</v>
      </c>
      <c r="M183" s="55">
        <f t="shared" si="22"/>
        <v>78.75</v>
      </c>
      <c r="N183" s="55">
        <f t="shared" si="23"/>
        <v>140</v>
      </c>
      <c r="O183" s="55">
        <f t="shared" si="24"/>
        <v>306.25</v>
      </c>
      <c r="P183" s="55">
        <f t="shared" si="25"/>
        <v>2000</v>
      </c>
      <c r="Q183" s="94">
        <f t="shared" si="26"/>
        <v>-1693.75</v>
      </c>
    </row>
    <row r="184" spans="1:17">
      <c r="A184" s="17">
        <v>2054</v>
      </c>
      <c r="B184" s="17">
        <v>2</v>
      </c>
      <c r="C184" s="17" t="s">
        <v>25</v>
      </c>
      <c r="D184" s="17" t="s">
        <v>58</v>
      </c>
      <c r="E184" s="17">
        <v>5</v>
      </c>
      <c r="F184" s="17" t="s">
        <v>11</v>
      </c>
      <c r="G184" s="17" t="s">
        <v>16</v>
      </c>
      <c r="H184" s="17" t="str">
        <f t="shared" si="18"/>
        <v>Centurion Mezzle Spark Igniter</v>
      </c>
      <c r="I184" s="55">
        <f t="shared" si="19"/>
        <v>1500</v>
      </c>
      <c r="J184" s="17">
        <v>4</v>
      </c>
      <c r="K184" s="17">
        <f t="shared" si="20"/>
        <v>0</v>
      </c>
      <c r="L184" s="18">
        <f t="shared" si="21"/>
        <v>0</v>
      </c>
      <c r="M184" s="55">
        <f t="shared" si="22"/>
        <v>0</v>
      </c>
      <c r="N184" s="55">
        <f t="shared" si="23"/>
        <v>0</v>
      </c>
      <c r="O184" s="55">
        <f t="shared" si="24"/>
        <v>0</v>
      </c>
      <c r="P184" s="55">
        <f t="shared" si="25"/>
        <v>8000</v>
      </c>
      <c r="Q184" s="94">
        <f t="shared" si="26"/>
        <v>-8000</v>
      </c>
    </row>
    <row r="185" spans="1:17">
      <c r="A185" s="17">
        <v>2054</v>
      </c>
      <c r="B185" s="17">
        <v>1</v>
      </c>
      <c r="C185" s="17" t="s">
        <v>25</v>
      </c>
      <c r="D185" s="17" t="s">
        <v>50</v>
      </c>
      <c r="E185" s="17">
        <v>7</v>
      </c>
      <c r="F185" s="17" t="s">
        <v>10</v>
      </c>
      <c r="G185" s="17" t="s">
        <v>18</v>
      </c>
      <c r="H185" s="17" t="str">
        <f t="shared" si="18"/>
        <v>Meezor Turbine Counter-Thruster</v>
      </c>
      <c r="I185" s="55">
        <f t="shared" si="19"/>
        <v>21296</v>
      </c>
      <c r="J185" s="17">
        <v>2</v>
      </c>
      <c r="K185" s="17">
        <f t="shared" si="20"/>
        <v>1</v>
      </c>
      <c r="L185" s="18">
        <f t="shared" si="21"/>
        <v>42592</v>
      </c>
      <c r="M185" s="55">
        <f t="shared" si="22"/>
        <v>4259.2</v>
      </c>
      <c r="N185" s="55">
        <f t="shared" si="23"/>
        <v>24000</v>
      </c>
      <c r="O185" s="55">
        <f t="shared" si="24"/>
        <v>14332.800000000003</v>
      </c>
      <c r="P185" s="55">
        <f t="shared" si="25"/>
        <v>12000</v>
      </c>
      <c r="Q185" s="94">
        <f t="shared" si="26"/>
        <v>2332.8000000000029</v>
      </c>
    </row>
    <row r="186" spans="1:17">
      <c r="A186" s="17">
        <v>2054</v>
      </c>
      <c r="B186" s="17">
        <v>3</v>
      </c>
      <c r="C186" s="17" t="s">
        <v>31</v>
      </c>
      <c r="D186" s="17" t="s">
        <v>50</v>
      </c>
      <c r="E186" s="17">
        <v>2</v>
      </c>
      <c r="F186" s="17" t="s">
        <v>10</v>
      </c>
      <c r="G186" s="17" t="s">
        <v>17</v>
      </c>
      <c r="H186" s="17" t="str">
        <f t="shared" si="18"/>
        <v>Half-Spar Radium Flange</v>
      </c>
      <c r="I186" s="55">
        <f t="shared" si="19"/>
        <v>1000</v>
      </c>
      <c r="J186" s="17">
        <v>3</v>
      </c>
      <c r="K186" s="17">
        <f t="shared" si="20"/>
        <v>1</v>
      </c>
      <c r="L186" s="18">
        <f t="shared" si="21"/>
        <v>3000</v>
      </c>
      <c r="M186" s="55">
        <f t="shared" si="22"/>
        <v>150</v>
      </c>
      <c r="N186" s="55">
        <f t="shared" si="23"/>
        <v>600</v>
      </c>
      <c r="O186" s="55">
        <f t="shared" si="24"/>
        <v>2250</v>
      </c>
      <c r="P186" s="55">
        <f t="shared" si="25"/>
        <v>2000</v>
      </c>
      <c r="Q186" s="94">
        <f t="shared" si="26"/>
        <v>250</v>
      </c>
    </row>
    <row r="187" spans="1:17">
      <c r="A187" s="17">
        <v>2059</v>
      </c>
      <c r="B187" s="17">
        <v>2</v>
      </c>
      <c r="C187" s="17" t="s">
        <v>31</v>
      </c>
      <c r="D187" s="17" t="s">
        <v>58</v>
      </c>
      <c r="E187" s="17">
        <v>1</v>
      </c>
      <c r="F187" s="17" t="s">
        <v>11</v>
      </c>
      <c r="G187" s="17" t="s">
        <v>17</v>
      </c>
      <c r="H187" s="17" t="str">
        <f t="shared" si="18"/>
        <v>Half-Spar Radium Flange</v>
      </c>
      <c r="I187" s="55">
        <f t="shared" si="19"/>
        <v>1000</v>
      </c>
      <c r="J187" s="17">
        <v>7</v>
      </c>
      <c r="K187" s="17">
        <f t="shared" si="20"/>
        <v>0</v>
      </c>
      <c r="L187" s="18">
        <f t="shared" si="21"/>
        <v>0</v>
      </c>
      <c r="M187" s="55">
        <f t="shared" si="22"/>
        <v>0</v>
      </c>
      <c r="N187" s="55">
        <f t="shared" si="23"/>
        <v>0</v>
      </c>
      <c r="O187" s="55">
        <f t="shared" si="24"/>
        <v>0</v>
      </c>
      <c r="P187" s="55">
        <f t="shared" si="25"/>
        <v>2500</v>
      </c>
      <c r="Q187" s="94">
        <f t="shared" si="26"/>
        <v>-2500</v>
      </c>
    </row>
    <row r="188" spans="1:17">
      <c r="A188" s="17">
        <v>2059</v>
      </c>
      <c r="B188" s="17">
        <v>1</v>
      </c>
      <c r="C188" s="17" t="s">
        <v>24</v>
      </c>
      <c r="D188" s="17" t="s">
        <v>50</v>
      </c>
      <c r="E188" s="17">
        <v>8</v>
      </c>
      <c r="F188" s="17" t="s">
        <v>10</v>
      </c>
      <c r="G188" s="17" t="s">
        <v>18</v>
      </c>
      <c r="H188" s="17" t="str">
        <f t="shared" si="18"/>
        <v>Meezor Turbine Counter-Thruster</v>
      </c>
      <c r="I188" s="55">
        <f t="shared" si="19"/>
        <v>21296</v>
      </c>
      <c r="J188" s="17">
        <v>3</v>
      </c>
      <c r="K188" s="17">
        <f t="shared" si="20"/>
        <v>1</v>
      </c>
      <c r="L188" s="18">
        <f t="shared" si="21"/>
        <v>63888</v>
      </c>
      <c r="M188" s="55">
        <f t="shared" si="22"/>
        <v>6388.8</v>
      </c>
      <c r="N188" s="55">
        <f t="shared" si="23"/>
        <v>36000</v>
      </c>
      <c r="O188" s="55">
        <f t="shared" si="24"/>
        <v>21499.199999999997</v>
      </c>
      <c r="P188" s="55">
        <f t="shared" si="25"/>
        <v>6250</v>
      </c>
      <c r="Q188" s="94">
        <f t="shared" si="26"/>
        <v>15249.199999999997</v>
      </c>
    </row>
    <row r="189" spans="1:17">
      <c r="A189" s="17">
        <v>2059</v>
      </c>
      <c r="B189" s="17">
        <v>3</v>
      </c>
      <c r="C189" s="17" t="s">
        <v>26</v>
      </c>
      <c r="D189" s="17" t="s">
        <v>50</v>
      </c>
      <c r="E189" s="17">
        <v>8</v>
      </c>
      <c r="F189" s="17" t="s">
        <v>10</v>
      </c>
      <c r="G189" s="17" t="s">
        <v>18</v>
      </c>
      <c r="H189" s="17" t="str">
        <f t="shared" si="18"/>
        <v>Meezor Turbine Counter-Thruster</v>
      </c>
      <c r="I189" s="55">
        <f t="shared" si="19"/>
        <v>21296</v>
      </c>
      <c r="J189" s="17">
        <v>3</v>
      </c>
      <c r="K189" s="17">
        <f t="shared" si="20"/>
        <v>1</v>
      </c>
      <c r="L189" s="18">
        <f t="shared" si="21"/>
        <v>63888</v>
      </c>
      <c r="M189" s="55">
        <f t="shared" si="22"/>
        <v>6388.8</v>
      </c>
      <c r="N189" s="55">
        <f t="shared" si="23"/>
        <v>36000</v>
      </c>
      <c r="O189" s="55">
        <f t="shared" si="24"/>
        <v>21499.199999999997</v>
      </c>
      <c r="P189" s="55">
        <f t="shared" si="25"/>
        <v>7500</v>
      </c>
      <c r="Q189" s="94">
        <f t="shared" si="26"/>
        <v>13999.199999999997</v>
      </c>
    </row>
    <row r="190" spans="1:17">
      <c r="A190" s="17">
        <v>2068</v>
      </c>
      <c r="B190" s="17">
        <v>4</v>
      </c>
      <c r="C190" s="17" t="s">
        <v>31</v>
      </c>
      <c r="D190" s="17" t="s">
        <v>46</v>
      </c>
      <c r="E190" s="17">
        <v>1</v>
      </c>
      <c r="F190" s="17" t="s">
        <v>9</v>
      </c>
      <c r="G190" s="17" t="s">
        <v>16</v>
      </c>
      <c r="H190" s="17" t="str">
        <f t="shared" si="18"/>
        <v>Centurion Mezzle Spark Igniter</v>
      </c>
      <c r="I190" s="55">
        <f t="shared" si="19"/>
        <v>1500</v>
      </c>
      <c r="J190" s="17">
        <v>6</v>
      </c>
      <c r="K190" s="17">
        <f t="shared" si="20"/>
        <v>0.05</v>
      </c>
      <c r="L190" s="18">
        <f t="shared" si="21"/>
        <v>450</v>
      </c>
      <c r="M190" s="55">
        <f t="shared" si="22"/>
        <v>67.5</v>
      </c>
      <c r="N190" s="55">
        <f t="shared" si="23"/>
        <v>120</v>
      </c>
      <c r="O190" s="55">
        <f t="shared" si="24"/>
        <v>262.5</v>
      </c>
      <c r="P190" s="55">
        <f t="shared" si="25"/>
        <v>2000</v>
      </c>
      <c r="Q190" s="94">
        <f t="shared" si="26"/>
        <v>-1737.5</v>
      </c>
    </row>
    <row r="191" spans="1:17">
      <c r="A191" s="17">
        <v>2068</v>
      </c>
      <c r="B191" s="17">
        <v>3</v>
      </c>
      <c r="C191" s="17" t="s">
        <v>31</v>
      </c>
      <c r="D191" s="17" t="s">
        <v>47</v>
      </c>
      <c r="E191" s="17">
        <v>2</v>
      </c>
      <c r="F191" s="17" t="s">
        <v>11</v>
      </c>
      <c r="G191" s="17" t="s">
        <v>17</v>
      </c>
      <c r="H191" s="17" t="str">
        <f t="shared" si="18"/>
        <v>Half-Spar Radium Flange</v>
      </c>
      <c r="I191" s="55">
        <f t="shared" si="19"/>
        <v>1000</v>
      </c>
      <c r="J191" s="17">
        <v>7</v>
      </c>
      <c r="K191" s="17">
        <f t="shared" si="20"/>
        <v>0</v>
      </c>
      <c r="L191" s="18">
        <f t="shared" si="21"/>
        <v>0</v>
      </c>
      <c r="M191" s="55">
        <f t="shared" si="22"/>
        <v>0</v>
      </c>
      <c r="N191" s="55">
        <f t="shared" si="23"/>
        <v>0</v>
      </c>
      <c r="O191" s="55">
        <f t="shared" si="24"/>
        <v>0</v>
      </c>
      <c r="P191" s="55">
        <f t="shared" si="25"/>
        <v>2000</v>
      </c>
      <c r="Q191" s="94">
        <f t="shared" si="26"/>
        <v>-2000</v>
      </c>
    </row>
    <row r="192" spans="1:17">
      <c r="A192" s="17">
        <v>2068</v>
      </c>
      <c r="B192" s="17">
        <v>2</v>
      </c>
      <c r="C192" s="17" t="s">
        <v>24</v>
      </c>
      <c r="D192" s="17" t="s">
        <v>50</v>
      </c>
      <c r="E192" s="17">
        <v>8</v>
      </c>
      <c r="F192" s="17" t="s">
        <v>10</v>
      </c>
      <c r="G192" s="17" t="s">
        <v>18</v>
      </c>
      <c r="H192" s="17" t="str">
        <f t="shared" si="18"/>
        <v>Meezor Turbine Counter-Thruster</v>
      </c>
      <c r="I192" s="55">
        <f t="shared" si="19"/>
        <v>21296</v>
      </c>
      <c r="J192" s="17">
        <v>3</v>
      </c>
      <c r="K192" s="17">
        <f t="shared" si="20"/>
        <v>1</v>
      </c>
      <c r="L192" s="18">
        <f t="shared" si="21"/>
        <v>63888</v>
      </c>
      <c r="M192" s="55">
        <f t="shared" si="22"/>
        <v>6388.8</v>
      </c>
      <c r="N192" s="55">
        <f t="shared" si="23"/>
        <v>36000</v>
      </c>
      <c r="O192" s="55">
        <f t="shared" si="24"/>
        <v>21499.199999999997</v>
      </c>
      <c r="P192" s="55">
        <f t="shared" si="25"/>
        <v>8333.3333333333339</v>
      </c>
      <c r="Q192" s="94">
        <f t="shared" si="26"/>
        <v>13165.866666666663</v>
      </c>
    </row>
    <row r="193" spans="1:17">
      <c r="A193" s="17">
        <v>2077</v>
      </c>
      <c r="B193" s="17">
        <v>2</v>
      </c>
      <c r="C193" s="17" t="s">
        <v>24</v>
      </c>
      <c r="D193" s="17" t="s">
        <v>50</v>
      </c>
      <c r="E193" s="17">
        <v>8</v>
      </c>
      <c r="F193" s="17" t="s">
        <v>10</v>
      </c>
      <c r="G193" s="17" t="s">
        <v>18</v>
      </c>
      <c r="H193" s="17" t="str">
        <f t="shared" si="18"/>
        <v>Meezor Turbine Counter-Thruster</v>
      </c>
      <c r="I193" s="55">
        <f t="shared" si="19"/>
        <v>21296</v>
      </c>
      <c r="J193" s="17">
        <v>3</v>
      </c>
      <c r="K193" s="17">
        <f t="shared" si="20"/>
        <v>1</v>
      </c>
      <c r="L193" s="18">
        <f t="shared" si="21"/>
        <v>63888</v>
      </c>
      <c r="M193" s="55">
        <f t="shared" si="22"/>
        <v>6388.8</v>
      </c>
      <c r="N193" s="55">
        <f t="shared" si="23"/>
        <v>36000</v>
      </c>
      <c r="O193" s="55">
        <f t="shared" si="24"/>
        <v>21499.199999999997</v>
      </c>
      <c r="P193" s="55">
        <f t="shared" si="25"/>
        <v>8333.3333333333339</v>
      </c>
      <c r="Q193" s="94">
        <f t="shared" si="26"/>
        <v>13165.866666666663</v>
      </c>
    </row>
    <row r="194" spans="1:17">
      <c r="A194" s="17">
        <v>2079</v>
      </c>
      <c r="B194" s="17">
        <v>1</v>
      </c>
      <c r="C194" s="17" t="s">
        <v>24</v>
      </c>
      <c r="D194" s="17" t="s">
        <v>50</v>
      </c>
      <c r="E194" s="17">
        <v>18</v>
      </c>
      <c r="F194" s="17" t="s">
        <v>10</v>
      </c>
      <c r="G194" s="17" t="s">
        <v>18</v>
      </c>
      <c r="H194" s="17" t="str">
        <f t="shared" ref="H194:H203" si="27">LOOKUP($G194,ProductProdID,ProductProdName)</f>
        <v>Meezor Turbine Counter-Thruster</v>
      </c>
      <c r="I194" s="55">
        <f t="shared" ref="I194:I203" si="28">INDEX(ProductPrice,MATCH($G194,ProductProdID,0))</f>
        <v>21296</v>
      </c>
      <c r="J194" s="17">
        <v>3</v>
      </c>
      <c r="K194" s="17">
        <f t="shared" ref="K194:K203" si="29">IF(F194=StatusLose,0,INDEX(ProcessStageProb,MATCH($D194,ProcessStageName,0)))</f>
        <v>1</v>
      </c>
      <c r="L194" s="18">
        <f t="shared" ref="L194:L203" si="30">I194*J194*K194</f>
        <v>63888</v>
      </c>
      <c r="M194" s="55">
        <f t="shared" ref="M194:M203" si="31">INDEX(ProductCommRate,MATCH($G194,ProductProdID,0))*$L194</f>
        <v>6388.8</v>
      </c>
      <c r="N194" s="55">
        <f t="shared" ref="N194:N203" si="32">INDEX(ProductUnitCost,MATCH($G194,ProductProdID,0))*$J194*$K194</f>
        <v>36000</v>
      </c>
      <c r="O194" s="55">
        <f t="shared" ref="O194:O203" si="33">L194-M194-N194</f>
        <v>21499.199999999997</v>
      </c>
      <c r="P194" s="55">
        <f t="shared" ref="P194:P203" si="34">VLOOKUP(C194,LeadSourceTable,(B194+1),FALSE)/COUNTIFS(TransactionsQuarter,B194,TransactionsLeadSource,C194)</f>
        <v>6250</v>
      </c>
      <c r="Q194" s="94">
        <f t="shared" ref="Q194:Q203" si="35">L194-M194-N194-P194</f>
        <v>15249.199999999997</v>
      </c>
    </row>
    <row r="195" spans="1:17">
      <c r="A195" s="17">
        <v>2090</v>
      </c>
      <c r="B195" s="17">
        <v>4</v>
      </c>
      <c r="C195" s="17" t="s">
        <v>26</v>
      </c>
      <c r="D195" s="17" t="s">
        <v>49</v>
      </c>
      <c r="E195" s="17">
        <v>5</v>
      </c>
      <c r="F195" s="17" t="s">
        <v>9</v>
      </c>
      <c r="G195" s="17" t="s">
        <v>15</v>
      </c>
      <c r="H195" s="17" t="str">
        <f t="shared" si="27"/>
        <v>Radial Atomizer</v>
      </c>
      <c r="I195" s="55">
        <f t="shared" si="28"/>
        <v>11500</v>
      </c>
      <c r="J195" s="17">
        <v>5</v>
      </c>
      <c r="K195" s="17">
        <f t="shared" si="29"/>
        <v>0.97</v>
      </c>
      <c r="L195" s="18">
        <f t="shared" si="30"/>
        <v>55775</v>
      </c>
      <c r="M195" s="55">
        <f t="shared" si="31"/>
        <v>2788.75</v>
      </c>
      <c r="N195" s="55">
        <f t="shared" si="32"/>
        <v>2910</v>
      </c>
      <c r="O195" s="55">
        <f t="shared" si="33"/>
        <v>50076.25</v>
      </c>
      <c r="P195" s="55">
        <f t="shared" si="34"/>
        <v>4285.7142857142853</v>
      </c>
      <c r="Q195" s="94">
        <f t="shared" si="35"/>
        <v>45790.535714285717</v>
      </c>
    </row>
    <row r="196" spans="1:17">
      <c r="A196" s="17">
        <v>2090</v>
      </c>
      <c r="B196" s="17">
        <v>2</v>
      </c>
      <c r="C196" s="17" t="s">
        <v>24</v>
      </c>
      <c r="D196" s="17" t="s">
        <v>50</v>
      </c>
      <c r="E196" s="17">
        <v>7</v>
      </c>
      <c r="F196" s="17" t="s">
        <v>10</v>
      </c>
      <c r="G196" s="17" t="s">
        <v>18</v>
      </c>
      <c r="H196" s="17" t="str">
        <f t="shared" si="27"/>
        <v>Meezor Turbine Counter-Thruster</v>
      </c>
      <c r="I196" s="55">
        <f t="shared" si="28"/>
        <v>21296</v>
      </c>
      <c r="J196" s="17">
        <v>3</v>
      </c>
      <c r="K196" s="17">
        <f t="shared" si="29"/>
        <v>1</v>
      </c>
      <c r="L196" s="18">
        <f t="shared" si="30"/>
        <v>63888</v>
      </c>
      <c r="M196" s="55">
        <f t="shared" si="31"/>
        <v>6388.8</v>
      </c>
      <c r="N196" s="55">
        <f t="shared" si="32"/>
        <v>36000</v>
      </c>
      <c r="O196" s="55">
        <f t="shared" si="33"/>
        <v>21499.199999999997</v>
      </c>
      <c r="P196" s="55">
        <f t="shared" si="34"/>
        <v>8333.3333333333339</v>
      </c>
      <c r="Q196" s="94">
        <f t="shared" si="35"/>
        <v>13165.866666666663</v>
      </c>
    </row>
    <row r="197" spans="1:17">
      <c r="A197" s="17">
        <v>2090</v>
      </c>
      <c r="B197" s="17">
        <v>3</v>
      </c>
      <c r="C197" s="17" t="s">
        <v>25</v>
      </c>
      <c r="D197" s="17" t="s">
        <v>50</v>
      </c>
      <c r="E197" s="17">
        <v>2</v>
      </c>
      <c r="F197" s="17" t="s">
        <v>10</v>
      </c>
      <c r="G197" s="17" t="s">
        <v>16</v>
      </c>
      <c r="H197" s="17" t="str">
        <f t="shared" si="27"/>
        <v>Centurion Mezzle Spark Igniter</v>
      </c>
      <c r="I197" s="55">
        <f t="shared" si="28"/>
        <v>1500</v>
      </c>
      <c r="J197" s="17">
        <v>5</v>
      </c>
      <c r="K197" s="17">
        <f t="shared" si="29"/>
        <v>1</v>
      </c>
      <c r="L197" s="18">
        <f t="shared" si="30"/>
        <v>7500</v>
      </c>
      <c r="M197" s="55">
        <f t="shared" si="31"/>
        <v>1125</v>
      </c>
      <c r="N197" s="55">
        <f t="shared" si="32"/>
        <v>2000</v>
      </c>
      <c r="O197" s="55">
        <f t="shared" si="33"/>
        <v>4375</v>
      </c>
      <c r="P197" s="55">
        <f t="shared" si="34"/>
        <v>9230.7692307692305</v>
      </c>
      <c r="Q197" s="94">
        <f t="shared" si="35"/>
        <v>-4855.7692307692305</v>
      </c>
    </row>
    <row r="198" spans="1:17">
      <c r="A198" s="17">
        <v>2093</v>
      </c>
      <c r="B198" s="17">
        <v>4</v>
      </c>
      <c r="C198" s="17" t="s">
        <v>24</v>
      </c>
      <c r="D198" s="17" t="s">
        <v>47</v>
      </c>
      <c r="E198" s="17">
        <v>1</v>
      </c>
      <c r="F198" s="17" t="s">
        <v>9</v>
      </c>
      <c r="G198" s="17" t="s">
        <v>18</v>
      </c>
      <c r="H198" s="17" t="str">
        <f t="shared" si="27"/>
        <v>Meezor Turbine Counter-Thruster</v>
      </c>
      <c r="I198" s="55">
        <f t="shared" si="28"/>
        <v>21296</v>
      </c>
      <c r="J198" s="17">
        <v>9</v>
      </c>
      <c r="K198" s="17">
        <f t="shared" si="29"/>
        <v>0.25</v>
      </c>
      <c r="L198" s="18">
        <f t="shared" si="30"/>
        <v>47916</v>
      </c>
      <c r="M198" s="55">
        <f t="shared" si="31"/>
        <v>4791.6000000000004</v>
      </c>
      <c r="N198" s="55">
        <f t="shared" si="32"/>
        <v>27000</v>
      </c>
      <c r="O198" s="55">
        <f t="shared" si="33"/>
        <v>16124.400000000001</v>
      </c>
      <c r="P198" s="55">
        <f t="shared" si="34"/>
        <v>4166.666666666667</v>
      </c>
      <c r="Q198" s="94">
        <f t="shared" si="35"/>
        <v>11957.733333333334</v>
      </c>
    </row>
    <row r="199" spans="1:17">
      <c r="A199" s="17">
        <v>2101</v>
      </c>
      <c r="B199" s="17">
        <v>1</v>
      </c>
      <c r="C199" s="17" t="s">
        <v>26</v>
      </c>
      <c r="D199" s="17" t="s">
        <v>49</v>
      </c>
      <c r="E199" s="17">
        <v>6</v>
      </c>
      <c r="F199" s="17" t="s">
        <v>11</v>
      </c>
      <c r="G199" s="17" t="s">
        <v>16</v>
      </c>
      <c r="H199" s="17" t="str">
        <f t="shared" si="27"/>
        <v>Centurion Mezzle Spark Igniter</v>
      </c>
      <c r="I199" s="55">
        <f t="shared" si="28"/>
        <v>1500</v>
      </c>
      <c r="J199" s="17">
        <v>2</v>
      </c>
      <c r="K199" s="17">
        <f t="shared" si="29"/>
        <v>0</v>
      </c>
      <c r="L199" s="18">
        <f t="shared" si="30"/>
        <v>0</v>
      </c>
      <c r="M199" s="55">
        <f t="shared" si="31"/>
        <v>0</v>
      </c>
      <c r="N199" s="55">
        <f t="shared" si="32"/>
        <v>0</v>
      </c>
      <c r="O199" s="55">
        <f t="shared" si="33"/>
        <v>0</v>
      </c>
      <c r="P199" s="55">
        <f t="shared" si="34"/>
        <v>3750</v>
      </c>
      <c r="Q199" s="94">
        <f t="shared" si="35"/>
        <v>-3750</v>
      </c>
    </row>
    <row r="200" spans="1:17">
      <c r="A200" s="17">
        <v>2101</v>
      </c>
      <c r="B200" s="17">
        <v>2</v>
      </c>
      <c r="C200" s="17" t="s">
        <v>31</v>
      </c>
      <c r="D200" s="17" t="s">
        <v>50</v>
      </c>
      <c r="E200" s="17">
        <v>2</v>
      </c>
      <c r="F200" s="17" t="s">
        <v>10</v>
      </c>
      <c r="G200" s="17" t="s">
        <v>17</v>
      </c>
      <c r="H200" s="17" t="str">
        <f t="shared" si="27"/>
        <v>Half-Spar Radium Flange</v>
      </c>
      <c r="I200" s="55">
        <f t="shared" si="28"/>
        <v>1000</v>
      </c>
      <c r="J200" s="17">
        <v>11</v>
      </c>
      <c r="K200" s="17">
        <f t="shared" si="29"/>
        <v>1</v>
      </c>
      <c r="L200" s="18">
        <f t="shared" si="30"/>
        <v>11000</v>
      </c>
      <c r="M200" s="55">
        <f t="shared" si="31"/>
        <v>550</v>
      </c>
      <c r="N200" s="55">
        <f t="shared" si="32"/>
        <v>2200</v>
      </c>
      <c r="O200" s="55">
        <f t="shared" si="33"/>
        <v>8250</v>
      </c>
      <c r="P200" s="55">
        <f t="shared" si="34"/>
        <v>2500</v>
      </c>
      <c r="Q200" s="94">
        <f t="shared" si="35"/>
        <v>5750</v>
      </c>
    </row>
    <row r="201" spans="1:17">
      <c r="A201" s="17">
        <v>2107</v>
      </c>
      <c r="B201" s="17">
        <v>2</v>
      </c>
      <c r="C201" s="17" t="s">
        <v>31</v>
      </c>
      <c r="D201" s="17" t="s">
        <v>47</v>
      </c>
      <c r="E201" s="17">
        <v>1</v>
      </c>
      <c r="F201" s="17" t="s">
        <v>11</v>
      </c>
      <c r="G201" s="17" t="s">
        <v>16</v>
      </c>
      <c r="H201" s="17" t="str">
        <f t="shared" si="27"/>
        <v>Centurion Mezzle Spark Igniter</v>
      </c>
      <c r="I201" s="55">
        <f t="shared" si="28"/>
        <v>1500</v>
      </c>
      <c r="J201" s="17">
        <v>6</v>
      </c>
      <c r="K201" s="17">
        <f t="shared" si="29"/>
        <v>0</v>
      </c>
      <c r="L201" s="18">
        <f t="shared" si="30"/>
        <v>0</v>
      </c>
      <c r="M201" s="55">
        <f t="shared" si="31"/>
        <v>0</v>
      </c>
      <c r="N201" s="55">
        <f t="shared" si="32"/>
        <v>0</v>
      </c>
      <c r="O201" s="55">
        <f t="shared" si="33"/>
        <v>0</v>
      </c>
      <c r="P201" s="55">
        <f t="shared" si="34"/>
        <v>2500</v>
      </c>
      <c r="Q201" s="94">
        <f t="shared" si="35"/>
        <v>-2500</v>
      </c>
    </row>
    <row r="202" spans="1:17">
      <c r="A202" s="17">
        <v>2114</v>
      </c>
      <c r="B202" s="17">
        <v>4</v>
      </c>
      <c r="C202" s="17" t="s">
        <v>31</v>
      </c>
      <c r="D202" s="17" t="s">
        <v>50</v>
      </c>
      <c r="E202" s="17">
        <v>4</v>
      </c>
      <c r="F202" s="17" t="s">
        <v>10</v>
      </c>
      <c r="G202" s="17" t="s">
        <v>16</v>
      </c>
      <c r="H202" s="17" t="str">
        <f t="shared" si="27"/>
        <v>Centurion Mezzle Spark Igniter</v>
      </c>
      <c r="I202" s="55">
        <f t="shared" si="28"/>
        <v>1500</v>
      </c>
      <c r="J202" s="17">
        <v>5</v>
      </c>
      <c r="K202" s="17">
        <f t="shared" si="29"/>
        <v>1</v>
      </c>
      <c r="L202" s="18">
        <f t="shared" si="30"/>
        <v>7500</v>
      </c>
      <c r="M202" s="55">
        <f t="shared" si="31"/>
        <v>1125</v>
      </c>
      <c r="N202" s="55">
        <f t="shared" si="32"/>
        <v>2000</v>
      </c>
      <c r="O202" s="55">
        <f t="shared" si="33"/>
        <v>4375</v>
      </c>
      <c r="P202" s="55">
        <f t="shared" si="34"/>
        <v>2000</v>
      </c>
      <c r="Q202" s="94">
        <f t="shared" si="35"/>
        <v>2375</v>
      </c>
    </row>
    <row r="203" spans="1:17">
      <c r="A203" s="91">
        <v>2115</v>
      </c>
      <c r="B203" s="91">
        <v>1</v>
      </c>
      <c r="C203" s="91" t="s">
        <v>24</v>
      </c>
      <c r="D203" s="91" t="s">
        <v>50</v>
      </c>
      <c r="E203" s="91">
        <v>8</v>
      </c>
      <c r="F203" s="91" t="s">
        <v>10</v>
      </c>
      <c r="G203" s="91" t="s">
        <v>18</v>
      </c>
      <c r="H203" s="91" t="str">
        <f t="shared" si="27"/>
        <v>Meezor Turbine Counter-Thruster</v>
      </c>
      <c r="I203" s="92">
        <f t="shared" si="28"/>
        <v>21296</v>
      </c>
      <c r="J203" s="91">
        <v>3</v>
      </c>
      <c r="K203" s="91">
        <f t="shared" si="29"/>
        <v>1</v>
      </c>
      <c r="L203" s="93">
        <f t="shared" si="30"/>
        <v>63888</v>
      </c>
      <c r="M203" s="92">
        <f t="shared" si="31"/>
        <v>6388.8</v>
      </c>
      <c r="N203" s="92">
        <f t="shared" si="32"/>
        <v>36000</v>
      </c>
      <c r="O203" s="92">
        <f t="shared" si="33"/>
        <v>21499.199999999997</v>
      </c>
      <c r="P203" s="92">
        <f t="shared" si="34"/>
        <v>6250</v>
      </c>
      <c r="Q203" s="94">
        <f t="shared" si="35"/>
        <v>15249.199999999997</v>
      </c>
    </row>
  </sheetData>
  <sortState ref="A2:Q203">
    <sortCondition ref="A2:A20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H15"/>
  <sheetViews>
    <sheetView workbookViewId="0">
      <selection activeCell="B7" sqref="B7"/>
    </sheetView>
  </sheetViews>
  <sheetFormatPr defaultRowHeight="15"/>
  <cols>
    <col min="2" max="2" width="23.5703125" customWidth="1"/>
    <col min="3" max="3" width="11.140625" bestFit="1" customWidth="1"/>
    <col min="7" max="7" width="10.140625" bestFit="1" customWidth="1"/>
  </cols>
  <sheetData>
    <row r="3" spans="2:8" ht="21">
      <c r="B3" s="20" t="s">
        <v>76</v>
      </c>
      <c r="C3" s="21"/>
      <c r="D3" s="21"/>
      <c r="E3" s="21"/>
      <c r="F3" s="21"/>
      <c r="G3" s="21"/>
    </row>
    <row r="4" spans="2:8">
      <c r="B4" s="13"/>
      <c r="C4" s="13">
        <v>1</v>
      </c>
      <c r="D4" s="13">
        <v>2</v>
      </c>
      <c r="E4" s="13">
        <v>3</v>
      </c>
      <c r="F4" s="13">
        <v>4</v>
      </c>
      <c r="G4" s="15" t="s">
        <v>30</v>
      </c>
    </row>
    <row r="5" spans="2:8">
      <c r="B5" s="13" t="s">
        <v>75</v>
      </c>
      <c r="C5" s="5">
        <f>SUMIFS(TransactionsTotSale,TransactionsQuarter,C$4)</f>
        <v>849808</v>
      </c>
      <c r="D5" s="5">
        <f>SUMIFS(TransactionsTotSale,TransactionsQuarter,D$4)</f>
        <v>853532</v>
      </c>
      <c r="E5" s="5">
        <f>SUMIFS(TransactionsTotSale,TransactionsQuarter,E$4)</f>
        <v>273276</v>
      </c>
      <c r="F5" s="5">
        <f>SUMIFS(TransactionsTotSale,TransactionsQuarter,F$4)</f>
        <v>578280.44000000006</v>
      </c>
      <c r="G5" s="5">
        <f>SUM(C5:F5)</f>
        <v>2554896.44</v>
      </c>
    </row>
    <row r="6" spans="2:8">
      <c r="B6" s="13" t="s">
        <v>77</v>
      </c>
      <c r="C6" s="5">
        <f>SUMIFS(TransactionsComm,TransactionsQuarter,C$4)</f>
        <v>66980.800000000003</v>
      </c>
      <c r="D6" s="5">
        <f>SUMIFS(TransactionsComm,TransactionsQuarter,D$4)</f>
        <v>61678.200000000012</v>
      </c>
      <c r="E6" s="5">
        <f>SUMIFS(TransactionsComm,TransactionsQuarter,E$4)</f>
        <v>22302.6</v>
      </c>
      <c r="F6" s="5">
        <f>SUMIFS(TransactionsComm,TransactionsQuarter,F$4)</f>
        <v>40135.793999999994</v>
      </c>
      <c r="G6" s="5">
        <f>SUM(C6:F6)</f>
        <v>191097.394</v>
      </c>
    </row>
    <row r="11" spans="2:8" ht="21">
      <c r="B11" s="25" t="s">
        <v>74</v>
      </c>
      <c r="C11" s="24"/>
      <c r="D11" s="24"/>
      <c r="E11" s="24"/>
      <c r="F11" s="24"/>
      <c r="G11" s="24"/>
      <c r="H11" s="24"/>
    </row>
    <row r="12" spans="2:8">
      <c r="B12" s="13"/>
      <c r="C12" s="13">
        <v>1</v>
      </c>
      <c r="D12" s="13">
        <v>2</v>
      </c>
      <c r="E12" s="13">
        <v>3</v>
      </c>
      <c r="F12" s="13">
        <v>4</v>
      </c>
      <c r="G12" s="15" t="s">
        <v>30</v>
      </c>
      <c r="H12" s="15" t="s">
        <v>53</v>
      </c>
    </row>
    <row r="13" spans="2:8">
      <c r="B13" s="4" t="s">
        <v>59</v>
      </c>
      <c r="C13" s="11">
        <f>COUNTIFS(TransactionsStatus,StatusWin,TransactionsQuarter,C$12)</f>
        <v>19</v>
      </c>
      <c r="D13" s="11">
        <f>COUNTIFS(TransactionsStatus,StatusWin,TransactionsQuarter,D$12)</f>
        <v>23</v>
      </c>
      <c r="E13" s="11">
        <f>COUNTIFS(TransactionsStatus,StatusWin,TransactionsQuarter,E$12)</f>
        <v>20</v>
      </c>
      <c r="F13" s="11">
        <f>COUNTIFS(TransactionsStatus,StatusWin,TransactionsQuarter,F$12)</f>
        <v>4</v>
      </c>
      <c r="G13" s="11">
        <f>SUM(C13:F13)</f>
        <v>66</v>
      </c>
      <c r="H13" s="11">
        <f>AVERAGE(C13:F13)</f>
        <v>16.5</v>
      </c>
    </row>
    <row r="14" spans="2:8">
      <c r="B14" s="4" t="s">
        <v>60</v>
      </c>
      <c r="C14" s="11">
        <f>COUNTIFS(TransactionsStatus,StatusWin,TransactionsQuarter,C$12)+COUNTIFS(TransactionsStatus,StatusLose,TransactionsQuarter,C$12)</f>
        <v>46</v>
      </c>
      <c r="D14" s="11">
        <f>COUNTIFS(TransactionsStatus,StatusWin,TransactionsQuarter,D$12)+COUNTIFS(TransactionsStatus,StatusLose,TransactionsQuarter,D$12)</f>
        <v>55</v>
      </c>
      <c r="E14" s="11">
        <f>COUNTIFS(TransactionsStatus,StatusWin,TransactionsQuarter,E$12)+COUNTIFS(TransactionsStatus,StatusLose,TransactionsQuarter,E$12)</f>
        <v>45</v>
      </c>
      <c r="F14" s="11">
        <f>COUNTIFS(TransactionsStatus,StatusWin,TransactionsQuarter,F$12)+COUNTIFS(TransactionsStatus,StatusLose,TransactionsQuarter,F$12)</f>
        <v>10</v>
      </c>
      <c r="G14" s="11">
        <f>SUM(C14:F14)</f>
        <v>156</v>
      </c>
      <c r="H14" s="11">
        <f>AVERAGE(C14:F14)</f>
        <v>39</v>
      </c>
    </row>
    <row r="15" spans="2:8">
      <c r="B15" s="13" t="s">
        <v>61</v>
      </c>
      <c r="C15" s="31">
        <f>C13/C14</f>
        <v>0.41304347826086957</v>
      </c>
      <c r="D15" s="31">
        <f>D13/D14</f>
        <v>0.41818181818181815</v>
      </c>
      <c r="E15" s="31">
        <f>E13/E14</f>
        <v>0.44444444444444442</v>
      </c>
      <c r="F15" s="31">
        <f>F13/F14</f>
        <v>0.4</v>
      </c>
      <c r="G15" s="31">
        <f>G13/G14</f>
        <v>0.42307692307692307</v>
      </c>
      <c r="H15" s="31">
        <f>AVERAGE(C15:F15)</f>
        <v>0.41891743522178304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topLeftCell="A40" zoomScaleNormal="100" workbookViewId="0">
      <selection activeCell="B50" sqref="B50"/>
    </sheetView>
  </sheetViews>
  <sheetFormatPr defaultRowHeight="15"/>
  <cols>
    <col min="1" max="1" width="34.42578125" customWidth="1"/>
    <col min="2" max="2" width="12.5703125" customWidth="1"/>
    <col min="3" max="3" width="15.5703125" customWidth="1"/>
    <col min="4" max="4" width="11.7109375" customWidth="1"/>
    <col min="5" max="5" width="15.140625" customWidth="1"/>
    <col min="6" max="6" width="14.5703125" customWidth="1"/>
    <col min="7" max="7" width="11" customWidth="1"/>
    <col min="8" max="8" width="22.42578125" bestFit="1" customWidth="1"/>
    <col min="9" max="52" width="10.7109375" customWidth="1"/>
    <col min="53" max="55" width="8" bestFit="1" customWidth="1"/>
    <col min="56" max="56" width="9.42578125" bestFit="1" customWidth="1"/>
    <col min="57" max="57" width="8" bestFit="1" customWidth="1"/>
    <col min="58" max="58" width="9.42578125" bestFit="1" customWidth="1"/>
    <col min="59" max="59" width="10.28515625" bestFit="1" customWidth="1"/>
    <col min="60" max="60" width="10.7109375" bestFit="1" customWidth="1"/>
    <col min="61" max="61" width="8.28515625" bestFit="1" customWidth="1"/>
    <col min="62" max="62" width="8.5703125" bestFit="1" customWidth="1"/>
    <col min="63" max="63" width="10.28515625" bestFit="1" customWidth="1"/>
    <col min="64" max="64" width="7" bestFit="1" customWidth="1"/>
    <col min="65" max="65" width="10.7109375" bestFit="1" customWidth="1"/>
  </cols>
  <sheetData>
    <row r="1" spans="1:15" ht="21">
      <c r="B1" s="95" t="s">
        <v>69</v>
      </c>
      <c r="C1" s="95"/>
      <c r="D1" s="95"/>
      <c r="E1" s="95"/>
    </row>
    <row r="2" spans="1:15" ht="15.75">
      <c r="A2" s="13" t="s">
        <v>6</v>
      </c>
      <c r="B2" s="27">
        <v>1</v>
      </c>
      <c r="C2" s="27">
        <v>2</v>
      </c>
      <c r="D2" s="27">
        <v>3</v>
      </c>
      <c r="E2" s="27">
        <v>4</v>
      </c>
      <c r="F2" s="28" t="s">
        <v>30</v>
      </c>
      <c r="H2" s="14"/>
      <c r="I2" s="14"/>
      <c r="J2" s="14"/>
    </row>
    <row r="3" spans="1:15" ht="18.75">
      <c r="A3" s="4" t="s">
        <v>63</v>
      </c>
      <c r="B3" s="7">
        <f t="shared" ref="B3:E6" si="0">SUMIFS(TransactionsTotSale,TransactionsProductName,$A3,TransactionsQuarter,B$2)</f>
        <v>299000</v>
      </c>
      <c r="C3" s="7">
        <f t="shared" si="0"/>
        <v>402500</v>
      </c>
      <c r="D3" s="7">
        <f t="shared" si="0"/>
        <v>0</v>
      </c>
      <c r="E3" s="7">
        <f t="shared" si="0"/>
        <v>383870</v>
      </c>
      <c r="F3" s="5">
        <f>SUM(B3:E3)</f>
        <v>1085370</v>
      </c>
      <c r="G3" s="7"/>
      <c r="H3" s="12"/>
      <c r="I3" s="11"/>
      <c r="J3" s="11"/>
    </row>
    <row r="4" spans="1:15">
      <c r="A4" s="4" t="s">
        <v>33</v>
      </c>
      <c r="B4" s="7">
        <f t="shared" si="0"/>
        <v>0</v>
      </c>
      <c r="C4" s="7">
        <f t="shared" si="0"/>
        <v>9000</v>
      </c>
      <c r="D4" s="7">
        <f t="shared" si="0"/>
        <v>22500</v>
      </c>
      <c r="E4" s="7">
        <f t="shared" si="0"/>
        <v>54825</v>
      </c>
      <c r="F4" s="5">
        <f t="shared" ref="F4:F6" si="1">SUM(B4:E4)</f>
        <v>86325</v>
      </c>
      <c r="G4" s="7"/>
      <c r="O4" s="1"/>
    </row>
    <row r="5" spans="1:15">
      <c r="A5" s="4" t="s">
        <v>34</v>
      </c>
      <c r="B5" s="7">
        <f t="shared" si="0"/>
        <v>61000</v>
      </c>
      <c r="C5" s="7">
        <f t="shared" si="0"/>
        <v>80000</v>
      </c>
      <c r="D5" s="7">
        <f t="shared" si="0"/>
        <v>123000</v>
      </c>
      <c r="E5" s="7">
        <f t="shared" si="0"/>
        <v>24800</v>
      </c>
      <c r="F5" s="5">
        <f t="shared" si="1"/>
        <v>288800</v>
      </c>
      <c r="G5" s="7"/>
      <c r="O5" s="1"/>
    </row>
    <row r="6" spans="1:15">
      <c r="A6" s="4" t="s">
        <v>35</v>
      </c>
      <c r="B6" s="7">
        <f t="shared" si="0"/>
        <v>489808</v>
      </c>
      <c r="C6" s="7">
        <f t="shared" si="0"/>
        <v>362032</v>
      </c>
      <c r="D6" s="7">
        <f t="shared" si="0"/>
        <v>127776</v>
      </c>
      <c r="E6" s="7">
        <f t="shared" si="0"/>
        <v>114785.44</v>
      </c>
      <c r="F6" s="5">
        <f t="shared" si="1"/>
        <v>1094401.44</v>
      </c>
      <c r="G6" s="7"/>
      <c r="O6" s="1"/>
    </row>
    <row r="7" spans="1:15">
      <c r="A7" s="13" t="s">
        <v>30</v>
      </c>
      <c r="B7" s="29">
        <f>SUM(B3:B6)</f>
        <v>849808</v>
      </c>
      <c r="C7" s="29">
        <f t="shared" ref="C7:D7" si="2">SUM(C3:C6)</f>
        <v>853532</v>
      </c>
      <c r="D7" s="29">
        <f t="shared" si="2"/>
        <v>273276</v>
      </c>
      <c r="E7" s="29">
        <f>SUM(E3:E6)</f>
        <v>578280.43999999994</v>
      </c>
      <c r="F7" s="29">
        <f>SUM(F3:F6)</f>
        <v>2554896.44</v>
      </c>
      <c r="O7" s="1"/>
    </row>
    <row r="8" spans="1:15" ht="18.75">
      <c r="A8" s="10"/>
      <c r="B8" s="10"/>
      <c r="C8" s="10"/>
      <c r="D8" s="10"/>
      <c r="E8" s="10"/>
      <c r="F8" s="10"/>
      <c r="H8" s="9"/>
      <c r="I8" s="11"/>
      <c r="J8" s="2"/>
    </row>
    <row r="9" spans="1:15" ht="21">
      <c r="A9" s="6"/>
      <c r="B9" s="95" t="s">
        <v>68</v>
      </c>
      <c r="C9" s="95"/>
      <c r="D9" s="95"/>
      <c r="E9" s="95"/>
      <c r="F9" s="6"/>
      <c r="H9" s="9"/>
      <c r="I9" s="11"/>
      <c r="J9" s="2"/>
    </row>
    <row r="10" spans="1:15" ht="18.75">
      <c r="A10" s="13" t="s">
        <v>6</v>
      </c>
      <c r="B10" s="27" t="s">
        <v>31</v>
      </c>
      <c r="C10" s="27" t="s">
        <v>24</v>
      </c>
      <c r="D10" s="27" t="s">
        <v>25</v>
      </c>
      <c r="E10" s="27" t="s">
        <v>26</v>
      </c>
      <c r="F10" s="28" t="s">
        <v>30</v>
      </c>
      <c r="H10" s="12"/>
      <c r="I10" s="11"/>
      <c r="J10" s="11"/>
    </row>
    <row r="11" spans="1:15">
      <c r="A11" s="4" t="s">
        <v>63</v>
      </c>
      <c r="B11" s="7">
        <f t="shared" ref="B11:E14" si="3">SUMIFS(TransactionsTotSale,TransactionsProductName,$A11,TransactionsLeadSource,B$10)</f>
        <v>40250</v>
      </c>
      <c r="C11" s="7">
        <f t="shared" si="3"/>
        <v>558095</v>
      </c>
      <c r="D11" s="7">
        <f t="shared" si="3"/>
        <v>1725</v>
      </c>
      <c r="E11" s="7">
        <f t="shared" si="3"/>
        <v>485300</v>
      </c>
      <c r="F11" s="5">
        <f>SUM(B11:E11)</f>
        <v>1085370</v>
      </c>
      <c r="H11" s="9"/>
      <c r="I11" s="11"/>
      <c r="J11" s="11"/>
    </row>
    <row r="12" spans="1:15">
      <c r="A12" s="4" t="s">
        <v>33</v>
      </c>
      <c r="B12" s="7">
        <f t="shared" si="3"/>
        <v>25500</v>
      </c>
      <c r="C12" s="7">
        <f t="shared" si="3"/>
        <v>0</v>
      </c>
      <c r="D12" s="7">
        <f t="shared" si="3"/>
        <v>34800</v>
      </c>
      <c r="E12" s="7">
        <f t="shared" si="3"/>
        <v>26025</v>
      </c>
      <c r="F12" s="5">
        <f t="shared" ref="F12:F14" si="4">SUM(B12:E12)</f>
        <v>86325</v>
      </c>
      <c r="H12" s="9"/>
      <c r="I12" s="11"/>
      <c r="J12" s="11"/>
    </row>
    <row r="13" spans="1:15">
      <c r="A13" s="4" t="s">
        <v>34</v>
      </c>
      <c r="B13" s="7">
        <f t="shared" si="3"/>
        <v>205850</v>
      </c>
      <c r="C13" s="7">
        <f t="shared" si="3"/>
        <v>64950</v>
      </c>
      <c r="D13" s="7">
        <f t="shared" si="3"/>
        <v>10000</v>
      </c>
      <c r="E13" s="7">
        <f t="shared" si="3"/>
        <v>8000</v>
      </c>
      <c r="F13" s="5">
        <f t="shared" si="4"/>
        <v>288800</v>
      </c>
      <c r="H13" s="9"/>
      <c r="I13" s="11"/>
      <c r="J13" s="11"/>
    </row>
    <row r="14" spans="1:15">
      <c r="A14" s="4" t="s">
        <v>35</v>
      </c>
      <c r="B14" s="7">
        <f t="shared" si="3"/>
        <v>5324</v>
      </c>
      <c r="C14" s="7">
        <f t="shared" si="3"/>
        <v>707027.2</v>
      </c>
      <c r="D14" s="7">
        <f t="shared" si="3"/>
        <v>42592</v>
      </c>
      <c r="E14" s="7">
        <f t="shared" si="3"/>
        <v>339458.24</v>
      </c>
      <c r="F14" s="5">
        <f t="shared" si="4"/>
        <v>1094401.44</v>
      </c>
      <c r="H14" s="9"/>
      <c r="I14" s="11"/>
      <c r="J14" s="11"/>
    </row>
    <row r="15" spans="1:15">
      <c r="A15" s="13" t="s">
        <v>30</v>
      </c>
      <c r="B15" s="29">
        <f>SUM(B11:B14)</f>
        <v>276924</v>
      </c>
      <c r="C15" s="29">
        <f t="shared" ref="C15" si="5">SUM(C11:C14)</f>
        <v>1330072.2</v>
      </c>
      <c r="D15" s="29">
        <f t="shared" ref="D15" si="6">SUM(D11:D14)</f>
        <v>89117</v>
      </c>
      <c r="E15" s="29">
        <f t="shared" ref="E15:F15" si="7">SUM(E11:E14)</f>
        <v>858783.24</v>
      </c>
      <c r="F15" s="29">
        <f t="shared" si="7"/>
        <v>2554896.44</v>
      </c>
      <c r="H15" s="9"/>
      <c r="I15" s="11"/>
      <c r="J15" s="11"/>
    </row>
    <row r="16" spans="1:15">
      <c r="H16" s="9"/>
      <c r="I16" s="11"/>
      <c r="J16" s="11"/>
    </row>
    <row r="17" spans="1:16" ht="21">
      <c r="B17" s="95" t="s">
        <v>67</v>
      </c>
      <c r="C17" s="95"/>
      <c r="D17" s="95"/>
      <c r="E17" s="95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>
      <c r="A18" s="13" t="s">
        <v>6</v>
      </c>
      <c r="B18" s="27">
        <v>1</v>
      </c>
      <c r="C18" s="27">
        <v>2</v>
      </c>
      <c r="D18" s="27">
        <v>3</v>
      </c>
      <c r="E18" s="27">
        <v>4</v>
      </c>
      <c r="F18" s="28" t="s">
        <v>30</v>
      </c>
      <c r="G18" s="7"/>
      <c r="H18" s="11"/>
      <c r="I18" s="11"/>
      <c r="J18" s="11"/>
      <c r="K18" s="11"/>
      <c r="L18" s="11"/>
      <c r="M18" s="11"/>
      <c r="N18" s="11"/>
      <c r="O18" s="11"/>
      <c r="P18" s="11"/>
    </row>
    <row r="19" spans="1:16">
      <c r="A19" s="4" t="s">
        <v>63</v>
      </c>
      <c r="B19" s="26">
        <f t="shared" ref="B19:E22" si="8">COUNTIFS(TransactionsProductName,$A19,TransactionsQuarter,B$2)</f>
        <v>10</v>
      </c>
      <c r="C19" s="26">
        <f t="shared" si="8"/>
        <v>9</v>
      </c>
      <c r="D19" s="26">
        <f t="shared" si="8"/>
        <v>7</v>
      </c>
      <c r="E19" s="26">
        <f t="shared" si="8"/>
        <v>23</v>
      </c>
      <c r="F19" s="26">
        <f>SUM(B19:E19)</f>
        <v>49</v>
      </c>
      <c r="G19" s="7"/>
      <c r="H19" s="11"/>
      <c r="I19" s="11"/>
      <c r="J19" s="11"/>
      <c r="K19" s="11"/>
      <c r="L19" s="11"/>
      <c r="M19" s="11"/>
      <c r="N19" s="11"/>
      <c r="O19" s="11"/>
      <c r="P19" s="11"/>
    </row>
    <row r="20" spans="1:16">
      <c r="A20" s="4" t="s">
        <v>33</v>
      </c>
      <c r="B20" s="26">
        <f t="shared" si="8"/>
        <v>13</v>
      </c>
      <c r="C20" s="26">
        <f t="shared" si="8"/>
        <v>15</v>
      </c>
      <c r="D20" s="26">
        <f t="shared" si="8"/>
        <v>9</v>
      </c>
      <c r="E20" s="26">
        <f t="shared" si="8"/>
        <v>18</v>
      </c>
      <c r="F20" s="26">
        <f t="shared" ref="F20:F22" si="9">SUM(B20:E20)</f>
        <v>55</v>
      </c>
      <c r="G20" s="7"/>
      <c r="H20" s="11"/>
      <c r="I20" s="11"/>
      <c r="J20" s="11"/>
      <c r="K20" s="11"/>
      <c r="L20" s="11"/>
      <c r="M20" s="11"/>
      <c r="N20" s="11"/>
      <c r="O20" s="11"/>
      <c r="P20" s="11"/>
    </row>
    <row r="21" spans="1:16">
      <c r="A21" s="4" t="s">
        <v>34</v>
      </c>
      <c r="B21" s="26">
        <f t="shared" si="8"/>
        <v>11</v>
      </c>
      <c r="C21" s="26">
        <f t="shared" si="8"/>
        <v>20</v>
      </c>
      <c r="D21" s="26">
        <f t="shared" si="8"/>
        <v>23</v>
      </c>
      <c r="E21" s="26">
        <f t="shared" si="8"/>
        <v>8</v>
      </c>
      <c r="F21" s="26">
        <f t="shared" si="9"/>
        <v>62</v>
      </c>
      <c r="G21" s="7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A22" s="4" t="s">
        <v>35</v>
      </c>
      <c r="B22" s="26">
        <f t="shared" si="8"/>
        <v>12</v>
      </c>
      <c r="C22" s="26">
        <f t="shared" si="8"/>
        <v>11</v>
      </c>
      <c r="D22" s="26">
        <f t="shared" si="8"/>
        <v>6</v>
      </c>
      <c r="E22" s="26">
        <f t="shared" si="8"/>
        <v>7</v>
      </c>
      <c r="F22" s="26">
        <f t="shared" si="9"/>
        <v>36</v>
      </c>
      <c r="G22" s="7"/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A23" s="13" t="s">
        <v>30</v>
      </c>
      <c r="B23" s="30">
        <f>SUM(B19:B22)</f>
        <v>46</v>
      </c>
      <c r="C23" s="30">
        <f t="shared" ref="C23:D23" si="10">SUM(C19:C22)</f>
        <v>55</v>
      </c>
      <c r="D23" s="30">
        <f t="shared" si="10"/>
        <v>45</v>
      </c>
      <c r="E23" s="30">
        <f>SUM(E19:E22)</f>
        <v>56</v>
      </c>
      <c r="F23" s="30">
        <f>SUM(F19:F22)</f>
        <v>202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8.75">
      <c r="A24" s="10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21">
      <c r="A26" s="11"/>
      <c r="B26" s="20" t="s">
        <v>66</v>
      </c>
      <c r="C26" s="20"/>
      <c r="D26" s="20"/>
      <c r="E26" s="20"/>
      <c r="F26" s="2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>
      <c r="A27" s="13" t="s">
        <v>6</v>
      </c>
      <c r="B27" s="27">
        <v>1</v>
      </c>
      <c r="C27" s="27">
        <v>2</v>
      </c>
      <c r="D27" s="27">
        <v>3</v>
      </c>
      <c r="E27" s="27">
        <v>4</v>
      </c>
      <c r="F27" s="28" t="s">
        <v>30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>
      <c r="A28" s="4" t="s">
        <v>63</v>
      </c>
      <c r="B28" s="26">
        <f t="shared" ref="B28:E31" si="11">COUNTIFS(TransactionsProductName,$A28,TransactionsQuarter,B$2,TransactionsStatus,StatusWin)</f>
        <v>5</v>
      </c>
      <c r="C28" s="26">
        <f t="shared" si="11"/>
        <v>6</v>
      </c>
      <c r="D28" s="26">
        <f t="shared" si="11"/>
        <v>0</v>
      </c>
      <c r="E28" s="26">
        <f t="shared" si="11"/>
        <v>1</v>
      </c>
      <c r="F28" s="26">
        <f>SUM(B28:E28)</f>
        <v>12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>
      <c r="A29" s="4" t="s">
        <v>33</v>
      </c>
      <c r="B29" s="26">
        <f t="shared" si="11"/>
        <v>0</v>
      </c>
      <c r="C29" s="26">
        <f t="shared" si="11"/>
        <v>1</v>
      </c>
      <c r="D29" s="26">
        <f t="shared" si="11"/>
        <v>3</v>
      </c>
      <c r="E29" s="26">
        <f t="shared" si="11"/>
        <v>3</v>
      </c>
      <c r="F29" s="26">
        <f t="shared" ref="F29:F31" si="12">SUM(B29:E29)</f>
        <v>7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>
      <c r="A30" s="4" t="s">
        <v>34</v>
      </c>
      <c r="B30" s="26">
        <f t="shared" si="11"/>
        <v>5</v>
      </c>
      <c r="C30" s="26">
        <f t="shared" si="11"/>
        <v>10</v>
      </c>
      <c r="D30" s="26">
        <f t="shared" si="11"/>
        <v>15</v>
      </c>
      <c r="E30" s="26">
        <f t="shared" si="11"/>
        <v>0</v>
      </c>
      <c r="F30" s="26">
        <f t="shared" si="12"/>
        <v>30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A31" s="4" t="s">
        <v>35</v>
      </c>
      <c r="B31" s="26">
        <f t="shared" si="11"/>
        <v>9</v>
      </c>
      <c r="C31" s="26">
        <f t="shared" si="11"/>
        <v>6</v>
      </c>
      <c r="D31" s="26">
        <f t="shared" si="11"/>
        <v>2</v>
      </c>
      <c r="E31" s="26">
        <f t="shared" si="11"/>
        <v>0</v>
      </c>
      <c r="F31" s="26">
        <f t="shared" si="12"/>
        <v>17</v>
      </c>
      <c r="G31" s="11"/>
      <c r="O31" s="11"/>
      <c r="P31" s="11"/>
    </row>
    <row r="32" spans="1:16">
      <c r="A32" s="13" t="s">
        <v>30</v>
      </c>
      <c r="B32" s="30">
        <f>SUM(B28:B31)</f>
        <v>19</v>
      </c>
      <c r="C32" s="30">
        <f t="shared" ref="C32:D32" si="13">SUM(C28:C31)</f>
        <v>23</v>
      </c>
      <c r="D32" s="30">
        <f t="shared" si="13"/>
        <v>20</v>
      </c>
      <c r="E32" s="30">
        <f>SUM(E28:E31)</f>
        <v>4</v>
      </c>
      <c r="F32" s="30">
        <f>SUM(F28:F31)</f>
        <v>66</v>
      </c>
      <c r="G32" s="11"/>
      <c r="O32" s="11"/>
      <c r="P32" s="11"/>
    </row>
    <row r="33" spans="1:16">
      <c r="E33" s="11"/>
      <c r="F33" s="11"/>
      <c r="G33" s="11"/>
      <c r="O33" s="11"/>
      <c r="P33" s="11"/>
    </row>
    <row r="34" spans="1:16">
      <c r="D34" s="11"/>
      <c r="E34" s="11"/>
      <c r="F34" s="11"/>
      <c r="G34" s="11"/>
      <c r="O34" s="11"/>
      <c r="P34" s="11"/>
    </row>
    <row r="35" spans="1:16" ht="21">
      <c r="A35" s="11"/>
      <c r="B35" s="20" t="s">
        <v>65</v>
      </c>
      <c r="C35" s="20"/>
      <c r="D35" s="20"/>
      <c r="E35" s="20"/>
      <c r="F35" s="2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13" t="s">
        <v>6</v>
      </c>
      <c r="B36" s="27">
        <v>1</v>
      </c>
      <c r="C36" s="27">
        <v>2</v>
      </c>
      <c r="D36" s="27">
        <v>3</v>
      </c>
      <c r="E36" s="27">
        <v>4</v>
      </c>
      <c r="F36" s="28" t="s">
        <v>53</v>
      </c>
      <c r="G36" s="8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4" t="s">
        <v>63</v>
      </c>
      <c r="B37" s="23">
        <f>B28/B19</f>
        <v>0.5</v>
      </c>
      <c r="C37" s="23">
        <f t="shared" ref="C37:E37" si="14">C28/C19</f>
        <v>0.66666666666666663</v>
      </c>
      <c r="D37" s="23">
        <f t="shared" si="14"/>
        <v>0</v>
      </c>
      <c r="E37" s="23">
        <f t="shared" si="14"/>
        <v>4.3478260869565216E-2</v>
      </c>
      <c r="F37" s="42">
        <f>AVERAGE(B37:E37)</f>
        <v>0.30253623188405793</v>
      </c>
      <c r="G37" s="8"/>
    </row>
    <row r="38" spans="1:16">
      <c r="A38" s="4" t="s">
        <v>33</v>
      </c>
      <c r="B38" s="23">
        <f t="shared" ref="B38:E38" si="15">B29/B20</f>
        <v>0</v>
      </c>
      <c r="C38" s="23">
        <f t="shared" si="15"/>
        <v>6.6666666666666666E-2</v>
      </c>
      <c r="D38" s="23">
        <f t="shared" si="15"/>
        <v>0.33333333333333331</v>
      </c>
      <c r="E38" s="23">
        <f t="shared" si="15"/>
        <v>0.16666666666666666</v>
      </c>
      <c r="F38" s="43">
        <f t="shared" ref="F38:F40" si="16">AVERAGE(B38:E38)</f>
        <v>0.14166666666666666</v>
      </c>
      <c r="G38" s="8"/>
    </row>
    <row r="39" spans="1:16">
      <c r="A39" s="4" t="s">
        <v>34</v>
      </c>
      <c r="B39" s="23">
        <f t="shared" ref="B39:E39" si="17">B30/B21</f>
        <v>0.45454545454545453</v>
      </c>
      <c r="C39" s="23">
        <f t="shared" si="17"/>
        <v>0.5</v>
      </c>
      <c r="D39" s="23">
        <f t="shared" si="17"/>
        <v>0.65217391304347827</v>
      </c>
      <c r="E39" s="23">
        <f t="shared" si="17"/>
        <v>0</v>
      </c>
      <c r="F39" s="43">
        <f t="shared" si="16"/>
        <v>0.40167984189723321</v>
      </c>
      <c r="G39" s="8"/>
    </row>
    <row r="40" spans="1:16">
      <c r="A40" s="4" t="s">
        <v>35</v>
      </c>
      <c r="B40" s="23">
        <f t="shared" ref="B40:E40" si="18">B31/B22</f>
        <v>0.75</v>
      </c>
      <c r="C40" s="23">
        <f t="shared" si="18"/>
        <v>0.54545454545454541</v>
      </c>
      <c r="D40" s="23">
        <f t="shared" si="18"/>
        <v>0.33333333333333331</v>
      </c>
      <c r="E40" s="23">
        <f t="shared" si="18"/>
        <v>0</v>
      </c>
      <c r="F40" s="43">
        <f t="shared" si="16"/>
        <v>0.40719696969696967</v>
      </c>
      <c r="G40" s="8"/>
    </row>
    <row r="41" spans="1:16">
      <c r="A41" s="13" t="s">
        <v>53</v>
      </c>
      <c r="B41" s="31">
        <f>AVERAGE(B37:B40)</f>
        <v>0.42613636363636365</v>
      </c>
      <c r="C41" s="31">
        <f t="shared" ref="C41:F41" si="19">AVERAGE(C37:C40)</f>
        <v>0.4446969696969697</v>
      </c>
      <c r="D41" s="31">
        <f t="shared" si="19"/>
        <v>0.3297101449275362</v>
      </c>
      <c r="E41" s="31">
        <f t="shared" si="19"/>
        <v>5.2536231884057968E-2</v>
      </c>
      <c r="F41" s="44">
        <f t="shared" si="19"/>
        <v>0.3132699275362319</v>
      </c>
    </row>
    <row r="44" spans="1:16" ht="21">
      <c r="A44" s="11"/>
      <c r="B44" s="20" t="s">
        <v>70</v>
      </c>
      <c r="C44" s="20"/>
      <c r="D44" s="20"/>
      <c r="E44" s="20"/>
      <c r="F44" s="21"/>
    </row>
    <row r="45" spans="1:16">
      <c r="A45" s="13" t="s">
        <v>6</v>
      </c>
      <c r="B45" s="27">
        <v>1</v>
      </c>
      <c r="C45" s="27">
        <v>2</v>
      </c>
      <c r="D45" s="27">
        <v>3</v>
      </c>
      <c r="E45" s="27">
        <v>4</v>
      </c>
      <c r="F45" s="28" t="s">
        <v>30</v>
      </c>
    </row>
    <row r="46" spans="1:16">
      <c r="A46" s="4" t="s">
        <v>63</v>
      </c>
      <c r="B46" s="26">
        <f t="shared" ref="B46:E49" si="20">SUMIFS(TransactionsNumCalls,TransactionsProductName,$A46,TransactionsQuarter,B$45)</f>
        <v>43</v>
      </c>
      <c r="C46" s="26">
        <f t="shared" si="20"/>
        <v>39</v>
      </c>
      <c r="D46" s="26">
        <f t="shared" si="20"/>
        <v>15</v>
      </c>
      <c r="E46" s="26">
        <f t="shared" si="20"/>
        <v>50</v>
      </c>
      <c r="F46" s="45">
        <f>SUM(B46:E46)</f>
        <v>147</v>
      </c>
      <c r="G46" s="8"/>
      <c r="I46" s="3"/>
    </row>
    <row r="47" spans="1:16">
      <c r="A47" s="4" t="s">
        <v>33</v>
      </c>
      <c r="B47" s="26">
        <f t="shared" si="20"/>
        <v>49</v>
      </c>
      <c r="C47" s="26">
        <f t="shared" si="20"/>
        <v>39</v>
      </c>
      <c r="D47" s="26">
        <f t="shared" si="20"/>
        <v>25</v>
      </c>
      <c r="E47" s="26">
        <f t="shared" si="20"/>
        <v>42</v>
      </c>
      <c r="F47" s="46">
        <f t="shared" ref="F47:F49" si="21">SUM(B47:E47)</f>
        <v>155</v>
      </c>
      <c r="G47" s="8"/>
    </row>
    <row r="48" spans="1:16">
      <c r="A48" s="4" t="s">
        <v>34</v>
      </c>
      <c r="B48" s="26">
        <f t="shared" si="20"/>
        <v>26</v>
      </c>
      <c r="C48" s="26">
        <f t="shared" si="20"/>
        <v>60</v>
      </c>
      <c r="D48" s="26">
        <f t="shared" si="20"/>
        <v>54</v>
      </c>
      <c r="E48" s="26">
        <f t="shared" si="20"/>
        <v>20</v>
      </c>
      <c r="F48" s="46">
        <f t="shared" si="21"/>
        <v>160</v>
      </c>
      <c r="G48" s="8"/>
    </row>
    <row r="49" spans="1:14">
      <c r="A49" s="4" t="s">
        <v>35</v>
      </c>
      <c r="B49" s="26">
        <f t="shared" si="20"/>
        <v>77</v>
      </c>
      <c r="C49" s="26">
        <f t="shared" si="20"/>
        <v>61</v>
      </c>
      <c r="D49" s="26">
        <f t="shared" si="20"/>
        <v>26</v>
      </c>
      <c r="E49" s="26">
        <f t="shared" si="20"/>
        <v>12</v>
      </c>
      <c r="F49" s="46">
        <f t="shared" si="21"/>
        <v>176</v>
      </c>
      <c r="G49" s="8"/>
      <c r="I49" s="54"/>
      <c r="J49" s="54"/>
      <c r="K49" s="54"/>
      <c r="L49" s="54"/>
      <c r="M49" s="54"/>
      <c r="N49" s="54"/>
    </row>
    <row r="50" spans="1:14">
      <c r="A50" s="13" t="s">
        <v>30</v>
      </c>
      <c r="B50" s="30">
        <f>SUM(B46:B49)</f>
        <v>195</v>
      </c>
      <c r="C50" s="30">
        <f t="shared" ref="C50:D50" si="22">SUM(C46:C49)</f>
        <v>199</v>
      </c>
      <c r="D50" s="30">
        <f t="shared" si="22"/>
        <v>120</v>
      </c>
      <c r="E50" s="30">
        <f>SUM(E46:E49)</f>
        <v>124</v>
      </c>
      <c r="F50" s="47">
        <f>SUM(F46:F49)</f>
        <v>638</v>
      </c>
      <c r="G50" s="8"/>
    </row>
    <row r="52" spans="1:14" ht="21">
      <c r="A52" s="11"/>
      <c r="B52" s="95" t="s">
        <v>71</v>
      </c>
      <c r="C52" s="95"/>
      <c r="D52" s="95"/>
      <c r="E52" s="95"/>
      <c r="F52" s="11"/>
    </row>
    <row r="53" spans="1:14">
      <c r="A53" s="13" t="s">
        <v>6</v>
      </c>
      <c r="B53" s="27">
        <v>1</v>
      </c>
      <c r="C53" s="27">
        <v>2</v>
      </c>
      <c r="D53" s="27">
        <v>3</v>
      </c>
      <c r="E53" s="27">
        <v>4</v>
      </c>
      <c r="F53" s="28" t="s">
        <v>30</v>
      </c>
    </row>
    <row r="54" spans="1:14">
      <c r="A54" s="4" t="s">
        <v>63</v>
      </c>
      <c r="B54" s="5">
        <f t="shared" ref="B54:E57" si="23">SUMIFS(TransactionsComm,TransactionsProductName,$A54,TransactionsQuarter,B$2)</f>
        <v>14950</v>
      </c>
      <c r="C54" s="5">
        <f t="shared" si="23"/>
        <v>20125</v>
      </c>
      <c r="D54" s="5">
        <f t="shared" si="23"/>
        <v>0</v>
      </c>
      <c r="E54" s="5">
        <f t="shared" si="23"/>
        <v>19193.5</v>
      </c>
      <c r="F54" s="48">
        <f>SUM(B54:E54)</f>
        <v>54268.5</v>
      </c>
    </row>
    <row r="55" spans="1:14">
      <c r="A55" s="4" t="s">
        <v>33</v>
      </c>
      <c r="B55" s="5">
        <f t="shared" si="23"/>
        <v>0</v>
      </c>
      <c r="C55" s="5">
        <f t="shared" si="23"/>
        <v>1350</v>
      </c>
      <c r="D55" s="5">
        <f t="shared" si="23"/>
        <v>3375</v>
      </c>
      <c r="E55" s="5">
        <f t="shared" si="23"/>
        <v>8223.75</v>
      </c>
      <c r="F55" s="49">
        <f t="shared" ref="F55:F57" si="24">SUM(B55:E55)</f>
        <v>12948.75</v>
      </c>
    </row>
    <row r="56" spans="1:14">
      <c r="A56" s="4" t="s">
        <v>34</v>
      </c>
      <c r="B56" s="5">
        <f t="shared" si="23"/>
        <v>3050</v>
      </c>
      <c r="C56" s="5">
        <f t="shared" si="23"/>
        <v>4000</v>
      </c>
      <c r="D56" s="5">
        <f t="shared" si="23"/>
        <v>6150</v>
      </c>
      <c r="E56" s="5">
        <f t="shared" si="23"/>
        <v>1240</v>
      </c>
      <c r="F56" s="49">
        <f t="shared" si="24"/>
        <v>14440</v>
      </c>
    </row>
    <row r="57" spans="1:14">
      <c r="A57" s="4" t="s">
        <v>35</v>
      </c>
      <c r="B57" s="5">
        <f t="shared" si="23"/>
        <v>48980.80000000001</v>
      </c>
      <c r="C57" s="5">
        <f t="shared" si="23"/>
        <v>36203.199999999997</v>
      </c>
      <c r="D57" s="5">
        <f t="shared" si="23"/>
        <v>12777.6</v>
      </c>
      <c r="E57" s="5">
        <f t="shared" si="23"/>
        <v>11478.544000000002</v>
      </c>
      <c r="F57" s="49">
        <f t="shared" si="24"/>
        <v>109440.144</v>
      </c>
    </row>
    <row r="58" spans="1:14">
      <c r="A58" s="13" t="s">
        <v>30</v>
      </c>
      <c r="B58" s="32">
        <f>SUM(B54:B57)</f>
        <v>66980.800000000017</v>
      </c>
      <c r="C58" s="32">
        <f t="shared" ref="C58:D58" si="25">SUM(C54:C57)</f>
        <v>61678.2</v>
      </c>
      <c r="D58" s="32">
        <f t="shared" si="25"/>
        <v>22302.6</v>
      </c>
      <c r="E58" s="32">
        <f>SUM(E54:E57)</f>
        <v>40135.794000000002</v>
      </c>
      <c r="F58" s="50">
        <f>SUM(F54:F57)</f>
        <v>191097.394</v>
      </c>
    </row>
    <row r="61" spans="1:14" ht="21">
      <c r="A61" s="11"/>
      <c r="B61" s="20"/>
      <c r="C61" s="20"/>
      <c r="D61" s="20"/>
      <c r="E61" s="20"/>
      <c r="F61" s="21"/>
    </row>
    <row r="62" spans="1:14">
      <c r="A62" s="13"/>
      <c r="B62" s="16"/>
      <c r="C62" s="16"/>
      <c r="D62" s="16"/>
      <c r="E62" s="16"/>
      <c r="F62" s="15"/>
    </row>
    <row r="63" spans="1:14">
      <c r="A63" s="4"/>
      <c r="B63" s="5"/>
      <c r="C63" s="5"/>
      <c r="D63" s="5"/>
      <c r="E63" s="5"/>
      <c r="F63" s="5"/>
    </row>
    <row r="64" spans="1:14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13"/>
      <c r="B67" s="5"/>
      <c r="C67" s="5"/>
      <c r="D67" s="5"/>
      <c r="E67" s="5"/>
      <c r="F67" s="5"/>
    </row>
  </sheetData>
  <mergeCells count="4">
    <mergeCell ref="B52:E52"/>
    <mergeCell ref="B1:E1"/>
    <mergeCell ref="B9:E9"/>
    <mergeCell ref="B17:E17"/>
  </mergeCells>
  <pageMargins left="0.7" right="0.7" top="0.75" bottom="0.75" header="0.3" footer="0.3"/>
  <pageSetup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6"/>
  <sheetViews>
    <sheetView topLeftCell="A7" zoomScaleNormal="100" workbookViewId="0">
      <selection activeCell="F24" sqref="F24"/>
    </sheetView>
  </sheetViews>
  <sheetFormatPr defaultRowHeight="15"/>
  <cols>
    <col min="1" max="1" width="31.28515625" customWidth="1"/>
    <col min="2" max="3" width="10.7109375" style="9" customWidth="1"/>
    <col min="4" max="4" width="18.7109375" style="9" customWidth="1"/>
    <col min="5" max="5" width="10.7109375" style="9" customWidth="1"/>
    <col min="6" max="6" width="13.5703125" style="9" customWidth="1"/>
    <col min="7" max="8" width="10.7109375" style="9" customWidth="1"/>
    <col min="9" max="9" width="10.7109375" customWidth="1"/>
    <col min="10" max="10" width="9" customWidth="1"/>
    <col min="11" max="11" width="10.5703125" customWidth="1"/>
    <col min="12" max="12" width="12.28515625" customWidth="1"/>
    <col min="13" max="13" width="10" customWidth="1"/>
    <col min="14" max="14" width="15" customWidth="1"/>
    <col min="15" max="15" width="11" customWidth="1"/>
    <col min="16" max="16" width="15.28515625" customWidth="1"/>
    <col min="17" max="20" width="8" customWidth="1"/>
    <col min="21" max="21" width="10.28515625" customWidth="1"/>
    <col min="22" max="22" width="10.7109375" bestFit="1" customWidth="1"/>
    <col min="23" max="23" width="8.5703125" customWidth="1"/>
    <col min="24" max="24" width="6.5703125" customWidth="1"/>
    <col min="25" max="25" width="10.28515625" bestFit="1" customWidth="1"/>
    <col min="26" max="26" width="8.5703125" customWidth="1"/>
    <col min="27" max="27" width="10.7109375" bestFit="1" customWidth="1"/>
  </cols>
  <sheetData>
    <row r="1" spans="1:12" ht="21">
      <c r="A1" s="11"/>
      <c r="B1" s="20" t="s">
        <v>72</v>
      </c>
      <c r="C1" s="20"/>
      <c r="D1" s="20"/>
      <c r="E1" s="20"/>
      <c r="F1" s="21"/>
      <c r="G1" s="21"/>
      <c r="H1" s="21"/>
    </row>
    <row r="2" spans="1:12">
      <c r="A2" s="11" t="s">
        <v>6</v>
      </c>
      <c r="B2" s="33" t="s">
        <v>46</v>
      </c>
      <c r="C2" s="33" t="s">
        <v>47</v>
      </c>
      <c r="D2" s="33" t="s">
        <v>58</v>
      </c>
      <c r="E2" s="33" t="s">
        <v>48</v>
      </c>
      <c r="F2" s="33" t="s">
        <v>49</v>
      </c>
      <c r="G2" s="33" t="s">
        <v>50</v>
      </c>
      <c r="H2" s="33" t="s">
        <v>30</v>
      </c>
    </row>
    <row r="3" spans="1:12">
      <c r="A3" s="11" t="s">
        <v>63</v>
      </c>
      <c r="B3" s="9">
        <f t="shared" ref="B3:G6" si="0">COUNTIFS(TransactionsProductName,$A3,TransactionsStage,B$2,TransactionsQuarter,4)</f>
        <v>11</v>
      </c>
      <c r="C3" s="9">
        <f t="shared" si="0"/>
        <v>3</v>
      </c>
      <c r="D3" s="9">
        <f t="shared" si="0"/>
        <v>5</v>
      </c>
      <c r="E3" s="9">
        <f t="shared" si="0"/>
        <v>0</v>
      </c>
      <c r="F3" s="9">
        <f t="shared" si="0"/>
        <v>3</v>
      </c>
      <c r="G3" s="9">
        <f t="shared" si="0"/>
        <v>1</v>
      </c>
      <c r="H3" s="36">
        <f>SUM(B3:G3)</f>
        <v>23</v>
      </c>
    </row>
    <row r="4" spans="1:12">
      <c r="A4" s="11" t="s">
        <v>33</v>
      </c>
      <c r="B4" s="9">
        <f t="shared" si="0"/>
        <v>7</v>
      </c>
      <c r="C4" s="9">
        <f t="shared" si="0"/>
        <v>1</v>
      </c>
      <c r="D4" s="9">
        <f t="shared" si="0"/>
        <v>3</v>
      </c>
      <c r="E4" s="9">
        <f t="shared" si="0"/>
        <v>4</v>
      </c>
      <c r="F4" s="9">
        <f t="shared" si="0"/>
        <v>0</v>
      </c>
      <c r="G4" s="9">
        <f t="shared" si="0"/>
        <v>3</v>
      </c>
      <c r="H4" s="37">
        <f t="shared" ref="H4:H7" si="1">SUM(B4:G4)</f>
        <v>18</v>
      </c>
    </row>
    <row r="5" spans="1:12" s="11" customFormat="1">
      <c r="A5" s="11" t="s">
        <v>34</v>
      </c>
      <c r="B5" s="9">
        <f t="shared" si="0"/>
        <v>2</v>
      </c>
      <c r="C5" s="9">
        <f t="shared" si="0"/>
        <v>2</v>
      </c>
      <c r="D5" s="9">
        <f t="shared" si="0"/>
        <v>2</v>
      </c>
      <c r="E5" s="9">
        <f t="shared" si="0"/>
        <v>1</v>
      </c>
      <c r="F5" s="9">
        <f t="shared" si="0"/>
        <v>0</v>
      </c>
      <c r="G5" s="9">
        <f t="shared" si="0"/>
        <v>1</v>
      </c>
      <c r="H5" s="37">
        <f t="shared" si="1"/>
        <v>8</v>
      </c>
      <c r="I5"/>
    </row>
    <row r="6" spans="1:12">
      <c r="A6" t="s">
        <v>35</v>
      </c>
      <c r="B6" s="9">
        <f t="shared" si="0"/>
        <v>4</v>
      </c>
      <c r="C6" s="9">
        <f t="shared" si="0"/>
        <v>2</v>
      </c>
      <c r="D6" s="9">
        <f t="shared" si="0"/>
        <v>0</v>
      </c>
      <c r="E6" s="9">
        <f t="shared" si="0"/>
        <v>0</v>
      </c>
      <c r="F6" s="9">
        <f t="shared" si="0"/>
        <v>1</v>
      </c>
      <c r="G6" s="9">
        <f t="shared" si="0"/>
        <v>0</v>
      </c>
      <c r="H6" s="37">
        <f t="shared" si="1"/>
        <v>7</v>
      </c>
    </row>
    <row r="7" spans="1:12">
      <c r="A7" t="s">
        <v>30</v>
      </c>
      <c r="B7" s="35">
        <f>SUM(B3:B6)</f>
        <v>24</v>
      </c>
      <c r="C7" s="35">
        <f t="shared" ref="C7:G7" si="2">SUM(C3:C6)</f>
        <v>8</v>
      </c>
      <c r="D7" s="35">
        <f t="shared" si="2"/>
        <v>10</v>
      </c>
      <c r="E7" s="35">
        <f t="shared" si="2"/>
        <v>5</v>
      </c>
      <c r="F7" s="35">
        <f t="shared" si="2"/>
        <v>4</v>
      </c>
      <c r="G7" s="35">
        <f t="shared" si="2"/>
        <v>5</v>
      </c>
      <c r="H7" s="38">
        <f t="shared" si="1"/>
        <v>56</v>
      </c>
      <c r="K7" s="6"/>
      <c r="L7" s="6"/>
    </row>
    <row r="8" spans="1:12">
      <c r="A8" s="11"/>
      <c r="I8" s="6"/>
      <c r="J8" s="6"/>
    </row>
    <row r="9" spans="1:12">
      <c r="A9" s="11"/>
      <c r="H9" s="19"/>
      <c r="I9" s="1"/>
      <c r="J9" s="1"/>
      <c r="K9" s="1"/>
      <c r="L9" s="1"/>
    </row>
    <row r="10" spans="1:12" ht="21">
      <c r="A10" s="11"/>
      <c r="B10" s="20" t="s">
        <v>73</v>
      </c>
      <c r="C10" s="20"/>
      <c r="D10" s="20"/>
      <c r="E10" s="20"/>
      <c r="F10" s="21"/>
      <c r="G10" s="21"/>
      <c r="H10" s="21"/>
      <c r="I10" s="1"/>
      <c r="J10" s="1"/>
      <c r="K10" s="1"/>
      <c r="L10" s="1"/>
    </row>
    <row r="11" spans="1:12">
      <c r="A11" s="11" t="s">
        <v>6</v>
      </c>
      <c r="B11" s="33" t="s">
        <v>46</v>
      </c>
      <c r="C11" s="33" t="s">
        <v>47</v>
      </c>
      <c r="D11" s="33" t="s">
        <v>58</v>
      </c>
      <c r="E11" s="33" t="s">
        <v>48</v>
      </c>
      <c r="F11" s="33" t="s">
        <v>49</v>
      </c>
      <c r="G11" s="33" t="s">
        <v>50</v>
      </c>
      <c r="H11" s="33" t="s">
        <v>30</v>
      </c>
      <c r="I11" s="1"/>
      <c r="J11" s="1"/>
      <c r="K11" s="1"/>
      <c r="L11" s="1"/>
    </row>
    <row r="12" spans="1:12">
      <c r="A12" s="11" t="s">
        <v>63</v>
      </c>
      <c r="B12" s="22">
        <f t="shared" ref="B12:G15" si="3">SUMIFS(TransactionsTotSale,TransactionsProductName,$A12,TransactionsStage,B$11,TransactionsQuarter,4)</f>
        <v>43700</v>
      </c>
      <c r="C12" s="22">
        <f t="shared" si="3"/>
        <v>23000</v>
      </c>
      <c r="D12" s="22">
        <f t="shared" si="3"/>
        <v>69000</v>
      </c>
      <c r="E12" s="22">
        <f t="shared" si="3"/>
        <v>0</v>
      </c>
      <c r="F12" s="22">
        <f t="shared" si="3"/>
        <v>156170</v>
      </c>
      <c r="G12" s="22">
        <f t="shared" si="3"/>
        <v>92000</v>
      </c>
      <c r="H12" s="39">
        <f>SUM(B12:G12)</f>
        <v>383870</v>
      </c>
      <c r="I12" s="1"/>
      <c r="J12" s="1"/>
      <c r="K12" s="1"/>
      <c r="L12" s="1"/>
    </row>
    <row r="13" spans="1:12">
      <c r="A13" s="11" t="s">
        <v>33</v>
      </c>
      <c r="B13" s="22">
        <f t="shared" si="3"/>
        <v>3000</v>
      </c>
      <c r="C13" s="22">
        <f t="shared" si="3"/>
        <v>0</v>
      </c>
      <c r="D13" s="22">
        <f t="shared" si="3"/>
        <v>0</v>
      </c>
      <c r="E13" s="22">
        <f t="shared" si="3"/>
        <v>29325</v>
      </c>
      <c r="F13" s="22">
        <f t="shared" si="3"/>
        <v>0</v>
      </c>
      <c r="G13" s="22">
        <f t="shared" si="3"/>
        <v>22500</v>
      </c>
      <c r="H13" s="40">
        <f t="shared" ref="H13:H15" si="4">SUM(B13:G13)</f>
        <v>54825</v>
      </c>
      <c r="I13" s="1"/>
      <c r="J13" s="1"/>
      <c r="K13" s="1"/>
      <c r="L13" s="1"/>
    </row>
    <row r="14" spans="1:12">
      <c r="A14" s="11" t="s">
        <v>34</v>
      </c>
      <c r="B14" s="22">
        <f t="shared" si="3"/>
        <v>1100</v>
      </c>
      <c r="C14" s="22">
        <f t="shared" si="3"/>
        <v>4750</v>
      </c>
      <c r="D14" s="22">
        <f t="shared" si="3"/>
        <v>13000</v>
      </c>
      <c r="E14" s="22">
        <f t="shared" si="3"/>
        <v>5950</v>
      </c>
      <c r="F14" s="22">
        <f t="shared" si="3"/>
        <v>0</v>
      </c>
      <c r="G14" s="22">
        <f t="shared" si="3"/>
        <v>0</v>
      </c>
      <c r="H14" s="40">
        <f t="shared" si="4"/>
        <v>24800</v>
      </c>
      <c r="I14" s="1"/>
      <c r="J14" s="1"/>
      <c r="K14" s="1"/>
      <c r="L14" s="1"/>
    </row>
    <row r="15" spans="1:12">
      <c r="A15" s="11" t="s">
        <v>35</v>
      </c>
      <c r="B15" s="22">
        <f t="shared" si="3"/>
        <v>14907.199999999999</v>
      </c>
      <c r="C15" s="22">
        <f t="shared" si="3"/>
        <v>58564</v>
      </c>
      <c r="D15" s="22">
        <f t="shared" si="3"/>
        <v>0</v>
      </c>
      <c r="E15" s="22">
        <f t="shared" si="3"/>
        <v>0</v>
      </c>
      <c r="F15" s="22">
        <f t="shared" si="3"/>
        <v>41314.239999999998</v>
      </c>
      <c r="G15" s="22">
        <f t="shared" si="3"/>
        <v>0</v>
      </c>
      <c r="H15" s="40">
        <f t="shared" si="4"/>
        <v>114785.44</v>
      </c>
    </row>
    <row r="16" spans="1:12">
      <c r="A16" s="11" t="s">
        <v>30</v>
      </c>
      <c r="B16" s="34">
        <f>SUM(B12:B15)</f>
        <v>62707.199999999997</v>
      </c>
      <c r="C16" s="34">
        <f t="shared" ref="C16" si="5">SUM(C12:C15)</f>
        <v>86314</v>
      </c>
      <c r="D16" s="34">
        <f t="shared" ref="D16" si="6">SUM(D12:D15)</f>
        <v>82000</v>
      </c>
      <c r="E16" s="34">
        <f t="shared" ref="E16" si="7">SUM(E12:E15)</f>
        <v>35275</v>
      </c>
      <c r="F16" s="34">
        <f t="shared" ref="F16" si="8">SUM(F12:F15)</f>
        <v>197484.24</v>
      </c>
      <c r="G16" s="34">
        <f t="shared" ref="G16" si="9">SUM(G12:G15)</f>
        <v>114500</v>
      </c>
      <c r="H16" s="41">
        <f t="shared" ref="H16" si="10">SUM(B16:G16)</f>
        <v>578280.43999999994</v>
      </c>
    </row>
    <row r="19" spans="1:9" ht="21">
      <c r="A19" s="56"/>
      <c r="B19" s="20" t="s">
        <v>78</v>
      </c>
      <c r="C19" s="21"/>
      <c r="D19" s="21"/>
      <c r="E19" s="21"/>
      <c r="F19" s="21"/>
      <c r="G19" s="21"/>
      <c r="H19" s="21"/>
    </row>
    <row r="20" spans="1:9" ht="15.75" thickBot="1">
      <c r="A20" t="s">
        <v>62</v>
      </c>
      <c r="B20" s="58" t="s">
        <v>46</v>
      </c>
      <c r="C20" s="58" t="s">
        <v>47</v>
      </c>
      <c r="D20" s="58" t="s">
        <v>58</v>
      </c>
      <c r="E20" s="58" t="s">
        <v>48</v>
      </c>
      <c r="F20" s="58" t="s">
        <v>49</v>
      </c>
      <c r="G20" s="58" t="s">
        <v>50</v>
      </c>
      <c r="H20" s="59" t="s">
        <v>30</v>
      </c>
    </row>
    <row r="21" spans="1:9">
      <c r="A21" t="str">
        <f>'Lead Source Expense'!B2</f>
        <v>Social</v>
      </c>
      <c r="B21" s="54">
        <f t="shared" ref="B21:G24" si="11">(COUNTIFS(TransactionsLeadSource,$A21,TransactionsStage,B$20,TransactionsStatus,StatusLose))/COUNTIFS(TransactionsStatus,StatusLose)</f>
        <v>0.25555555555555554</v>
      </c>
      <c r="C21" s="54">
        <f t="shared" si="11"/>
        <v>8.8888888888888892E-2</v>
      </c>
      <c r="D21" s="54">
        <f t="shared" si="11"/>
        <v>6.6666666666666666E-2</v>
      </c>
      <c r="E21" s="54">
        <f t="shared" si="11"/>
        <v>1.1111111111111112E-2</v>
      </c>
      <c r="F21" s="54">
        <f t="shared" si="11"/>
        <v>0</v>
      </c>
      <c r="G21" s="62">
        <f t="shared" si="11"/>
        <v>1.1111111111111112E-2</v>
      </c>
      <c r="H21" s="57">
        <f>SUM(B21:G21)</f>
        <v>0.43333333333333335</v>
      </c>
      <c r="I21" s="11"/>
    </row>
    <row r="22" spans="1:9">
      <c r="A22" s="11" t="str">
        <f>'Lead Source Expense'!B3</f>
        <v>Tradeshow</v>
      </c>
      <c r="B22" s="54">
        <f t="shared" si="11"/>
        <v>1.1111111111111112E-2</v>
      </c>
      <c r="C22" s="54">
        <f t="shared" si="11"/>
        <v>0</v>
      </c>
      <c r="D22" s="54">
        <f t="shared" si="11"/>
        <v>4.4444444444444446E-2</v>
      </c>
      <c r="E22" s="54">
        <f t="shared" si="11"/>
        <v>1.1111111111111112E-2</v>
      </c>
      <c r="F22" s="54">
        <f t="shared" si="11"/>
        <v>0</v>
      </c>
      <c r="G22" s="63">
        <f t="shared" si="11"/>
        <v>0</v>
      </c>
      <c r="H22" s="57">
        <f t="shared" ref="H22:H24" si="12">SUM(B22:G22)</f>
        <v>6.6666666666666666E-2</v>
      </c>
    </row>
    <row r="23" spans="1:9">
      <c r="A23" s="11" t="str">
        <f>'Lead Source Expense'!B4</f>
        <v>Advertising</v>
      </c>
      <c r="B23" s="54">
        <f t="shared" si="11"/>
        <v>0</v>
      </c>
      <c r="C23" s="54">
        <f t="shared" si="11"/>
        <v>4.4444444444444446E-2</v>
      </c>
      <c r="D23" s="54">
        <f t="shared" si="11"/>
        <v>0.32222222222222224</v>
      </c>
      <c r="E23" s="54">
        <f t="shared" si="11"/>
        <v>0</v>
      </c>
      <c r="F23" s="54">
        <f t="shared" si="11"/>
        <v>0</v>
      </c>
      <c r="G23" s="63">
        <f t="shared" si="11"/>
        <v>2.2222222222222223E-2</v>
      </c>
      <c r="H23" s="57">
        <f t="shared" si="12"/>
        <v>0.3888888888888889</v>
      </c>
      <c r="I23" s="1"/>
    </row>
    <row r="24" spans="1:9">
      <c r="A24" s="11" t="str">
        <f>'Lead Source Expense'!B5</f>
        <v>Referral</v>
      </c>
      <c r="B24" s="54">
        <f t="shared" si="11"/>
        <v>0</v>
      </c>
      <c r="C24" s="54">
        <f t="shared" si="11"/>
        <v>0</v>
      </c>
      <c r="D24" s="54">
        <f t="shared" si="11"/>
        <v>0</v>
      </c>
      <c r="E24" s="54">
        <f t="shared" si="11"/>
        <v>0</v>
      </c>
      <c r="F24" s="54">
        <f t="shared" si="11"/>
        <v>0.1111111111111111</v>
      </c>
      <c r="G24" s="63">
        <f t="shared" si="11"/>
        <v>0</v>
      </c>
      <c r="H24" s="57">
        <f t="shared" si="12"/>
        <v>0.1111111111111111</v>
      </c>
    </row>
    <row r="25" spans="1:9" ht="15.75" thickBot="1">
      <c r="A25" s="11" t="s">
        <v>30</v>
      </c>
      <c r="B25" s="60">
        <f t="shared" ref="B25:H25" si="13">SUM(B21:B24)</f>
        <v>0.26666666666666666</v>
      </c>
      <c r="C25" s="60">
        <f t="shared" si="13"/>
        <v>0.13333333333333333</v>
      </c>
      <c r="D25" s="60">
        <f t="shared" si="13"/>
        <v>0.43333333333333335</v>
      </c>
      <c r="E25" s="60">
        <f t="shared" si="13"/>
        <v>2.2222222222222223E-2</v>
      </c>
      <c r="F25" s="60">
        <f t="shared" si="13"/>
        <v>0.1111111111111111</v>
      </c>
      <c r="G25" s="64">
        <f t="shared" si="13"/>
        <v>3.3333333333333333E-2</v>
      </c>
      <c r="H25" s="61">
        <f t="shared" si="13"/>
        <v>1</v>
      </c>
    </row>
    <row r="26" spans="1:9">
      <c r="B26" s="54"/>
      <c r="C26"/>
      <c r="D26"/>
      <c r="E26"/>
      <c r="F26"/>
      <c r="G26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B7C525D7D501469A81E70EBABEC768" ma:contentTypeVersion="4" ma:contentTypeDescription="Create a new document." ma:contentTypeScope="" ma:versionID="f90888856e602f22683c8a6c01ecf0de">
  <xsd:schema xmlns:xsd="http://www.w3.org/2001/XMLSchema" xmlns:xs="http://www.w3.org/2001/XMLSchema" xmlns:p="http://schemas.microsoft.com/office/2006/metadata/properties" xmlns:ns2="73b6b4f4-df1b-480e-9a09-c456f4b138ff" xmlns:ns3="dad398f3-d117-4fcb-92b5-060d010a4ef3" targetNamespace="http://schemas.microsoft.com/office/2006/metadata/properties" ma:root="true" ma:fieldsID="655f99992d1f3c16486dde443f918088" ns2:_="" ns3:_="">
    <xsd:import namespace="73b6b4f4-df1b-480e-9a09-c456f4b138ff"/>
    <xsd:import namespace="dad398f3-d117-4fcb-92b5-060d010a4e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6b4f4-df1b-480e-9a09-c456f4b13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398f3-d117-4fcb-92b5-060d010a4e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832BDE-CE57-45AC-A9C6-F82B05666548}"/>
</file>

<file path=customXml/itemProps2.xml><?xml version="1.0" encoding="utf-8"?>
<ds:datastoreItem xmlns:ds="http://schemas.openxmlformats.org/officeDocument/2006/customXml" ds:itemID="{AD2EEA81-DABD-417B-B838-6D68397D79D2}"/>
</file>

<file path=customXml/itemProps3.xml><?xml version="1.0" encoding="utf-8"?>
<ds:datastoreItem xmlns:ds="http://schemas.openxmlformats.org/officeDocument/2006/customXml" ds:itemID="{F4D1FB47-5E10-4766-A3B6-183C4577D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38</vt:i4>
      </vt:variant>
    </vt:vector>
  </HeadingPairs>
  <TitlesOfParts>
    <vt:vector size="48" baseType="lpstr">
      <vt:lpstr>Information</vt:lpstr>
      <vt:lpstr>Products</vt:lpstr>
      <vt:lpstr>Lead Source Expense</vt:lpstr>
      <vt:lpstr>Process</vt:lpstr>
      <vt:lpstr>Status</vt:lpstr>
      <vt:lpstr>Transactions</vt:lpstr>
      <vt:lpstr>Basic Results</vt:lpstr>
      <vt:lpstr>Sales Analysis</vt:lpstr>
      <vt:lpstr>Pipeline</vt:lpstr>
      <vt:lpstr>Lead Source Profit Analysis</vt:lpstr>
      <vt:lpstr>LeadSourceCostQ1</vt:lpstr>
      <vt:lpstr>LeadSourceCostQ2</vt:lpstr>
      <vt:lpstr>LeadSourceCostQ3</vt:lpstr>
      <vt:lpstr>LeadSourceCostQ4</vt:lpstr>
      <vt:lpstr>LeadSourceID</vt:lpstr>
      <vt:lpstr>LeadSourceStageTable</vt:lpstr>
      <vt:lpstr>LeadSourceTable</vt:lpstr>
      <vt:lpstr>LeadSourceType</vt:lpstr>
      <vt:lpstr>'Sales Analysis'!Print_Area</vt:lpstr>
      <vt:lpstr>ProcessStageID</vt:lpstr>
      <vt:lpstr>ProcessStageName</vt:lpstr>
      <vt:lpstr>ProcessStageProb</vt:lpstr>
      <vt:lpstr>ProductCommRate</vt:lpstr>
      <vt:lpstr>ProductPrice</vt:lpstr>
      <vt:lpstr>ProductProdID</vt:lpstr>
      <vt:lpstr>ProductProdName</vt:lpstr>
      <vt:lpstr>ProductUnitCost</vt:lpstr>
      <vt:lpstr>StatusLose</vt:lpstr>
      <vt:lpstr>StatusOpen</vt:lpstr>
      <vt:lpstr>StatusStatus</vt:lpstr>
      <vt:lpstr>StatusStatusID</vt:lpstr>
      <vt:lpstr>StatusWin</vt:lpstr>
      <vt:lpstr>TransactionsAllocatedLeadCost</vt:lpstr>
      <vt:lpstr>TransactionsCGS</vt:lpstr>
      <vt:lpstr>TransactionsComm</vt:lpstr>
      <vt:lpstr>TransactionsCustID</vt:lpstr>
      <vt:lpstr>TransactionsForecastedNetProfit</vt:lpstr>
      <vt:lpstr>TransactionsForecastedProfit</vt:lpstr>
      <vt:lpstr>TransactionsLeadSource</vt:lpstr>
      <vt:lpstr>TransactionsNumCalls</vt:lpstr>
      <vt:lpstr>TransactionsProdID</vt:lpstr>
      <vt:lpstr>TransactionsProductName</vt:lpstr>
      <vt:lpstr>TransactionsQuarter</vt:lpstr>
      <vt:lpstr>TransactionsSalesDataTable</vt:lpstr>
      <vt:lpstr>TransactionsStage</vt:lpstr>
      <vt:lpstr>TransactionsStatus</vt:lpstr>
      <vt:lpstr>TransactionsTotSale</vt:lpstr>
      <vt:lpstr>TransactionsUnits</vt:lpstr>
    </vt:vector>
  </TitlesOfParts>
  <Company>Ball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A. Inks</dc:creator>
  <cp:lastModifiedBy>Rob</cp:lastModifiedBy>
  <cp:lastPrinted>2012-12-12T15:59:03Z</cp:lastPrinted>
  <dcterms:created xsi:type="dcterms:W3CDTF">2012-05-11T19:52:16Z</dcterms:created>
  <dcterms:modified xsi:type="dcterms:W3CDTF">2016-02-05T19:48:15Z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0x01010017B7C525D7D501469A81E70EBABEC768</vt:lpwstr>
  </property>
</Properties>
</file>